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b0699ad4f4de642/meetings/GC0079 Frequency Resilience/170926/"/>
    </mc:Choice>
  </mc:AlternateContent>
  <xr:revisionPtr revIDLastSave="2" documentId="F3827A0B512526C43D5AAAA4E89CCF63C484DA60" xr6:coauthVersionLast="21" xr6:coauthVersionMax="21" xr10:uidLastSave="{921EACA3-A85F-4E70-8136-DC4014F45C96}"/>
  <bookViews>
    <workbookView xWindow="0" yWindow="0" windowWidth="20730" windowHeight="11760" xr2:uid="{00000000-000D-0000-FFFF-FFFF00000000}"/>
  </bookViews>
  <sheets>
    <sheet name="Cost RoCoF and VS" sheetId="1" r:id="rId1"/>
    <sheet name="Sheet1" sheetId="2" r:id="rId2"/>
  </sheets>
  <calcPr calcId="171027"/>
</workbook>
</file>

<file path=xl/calcChain.xml><?xml version="1.0" encoding="utf-8"?>
<calcChain xmlns="http://schemas.openxmlformats.org/spreadsheetml/2006/main">
  <c r="I44" i="1" l="1"/>
  <c r="H44" i="1"/>
  <c r="G44" i="1"/>
  <c r="J64" i="1" l="1"/>
  <c r="K64" i="1" s="1"/>
  <c r="J62" i="1"/>
  <c r="J70" i="1" s="1"/>
  <c r="K70" i="1" s="1"/>
  <c r="I73" i="1"/>
  <c r="H73" i="1"/>
  <c r="G73" i="1"/>
  <c r="J35" i="1"/>
  <c r="G18" i="1"/>
  <c r="H18" i="1"/>
  <c r="I18" i="1"/>
  <c r="K62" i="1" l="1"/>
  <c r="N62" i="1" s="1"/>
  <c r="J71" i="1"/>
  <c r="K71" i="1" s="1"/>
  <c r="J65" i="1"/>
  <c r="J66" i="1"/>
  <c r="K66" i="1" s="1"/>
  <c r="J63" i="1"/>
  <c r="J72" i="1" l="1"/>
  <c r="K72" i="1" s="1"/>
  <c r="J73" i="1"/>
  <c r="K73" i="1" s="1"/>
  <c r="K63" i="1"/>
  <c r="N63" i="1" s="1"/>
  <c r="N82" i="1" s="1"/>
  <c r="I74" i="1"/>
  <c r="I75" i="1" s="1"/>
  <c r="G74" i="1"/>
  <c r="G75" i="1" s="1"/>
  <c r="H74" i="1"/>
  <c r="K65" i="1"/>
  <c r="J69" i="1"/>
  <c r="K69" i="1" s="1"/>
  <c r="J68" i="1"/>
  <c r="K68" i="1" s="1"/>
  <c r="J67" i="1"/>
  <c r="K67" i="1" s="1"/>
  <c r="J74" i="1" l="1"/>
  <c r="K74" i="1" s="1"/>
  <c r="L74" i="1" s="1"/>
  <c r="H75" i="1"/>
  <c r="J75" i="1" s="1"/>
  <c r="K75" i="1" s="1"/>
  <c r="M75" i="1" s="1"/>
  <c r="G77" i="1"/>
  <c r="I76" i="1"/>
  <c r="H76" i="1"/>
  <c r="G76" i="1"/>
  <c r="I77" i="1"/>
  <c r="H77" i="1"/>
  <c r="I78" i="1"/>
  <c r="I79" i="1"/>
  <c r="G78" i="1"/>
  <c r="H79" i="1"/>
  <c r="G79" i="1"/>
  <c r="H78" i="1"/>
  <c r="G81" i="1"/>
  <c r="I81" i="1"/>
  <c r="G80" i="1"/>
  <c r="H81" i="1"/>
  <c r="I80" i="1"/>
  <c r="H80" i="1"/>
  <c r="J81" i="1" l="1"/>
  <c r="K81" i="1" s="1"/>
  <c r="L81" i="1" s="1"/>
  <c r="J78" i="1"/>
  <c r="K78" i="1" s="1"/>
  <c r="L78" i="1" s="1"/>
  <c r="J80" i="1"/>
  <c r="K80" i="1" s="1"/>
  <c r="L80" i="1" s="1"/>
  <c r="J76" i="1"/>
  <c r="K76" i="1" s="1"/>
  <c r="L76" i="1" s="1"/>
  <c r="J79" i="1"/>
  <c r="K79" i="1" s="1"/>
  <c r="L79" i="1" s="1"/>
  <c r="J77" i="1"/>
  <c r="K77" i="1" s="1"/>
  <c r="M77" i="1" s="1"/>
  <c r="M82" i="1" s="1"/>
  <c r="L82" i="1" l="1"/>
  <c r="O82" i="1" s="1"/>
  <c r="K58" i="1"/>
  <c r="J36" i="1" l="1"/>
  <c r="K35" i="1"/>
  <c r="K36" i="1" l="1"/>
  <c r="J9" i="1"/>
  <c r="K9" i="1" l="1"/>
  <c r="J10" i="1"/>
  <c r="K10" i="1" l="1"/>
  <c r="B14" i="2"/>
  <c r="K13" i="2" s="1"/>
  <c r="B7" i="2"/>
  <c r="K6" i="2" s="1"/>
  <c r="H13" i="2" l="1"/>
  <c r="J13" i="2"/>
  <c r="G14" i="2"/>
  <c r="E13" i="2"/>
  <c r="J14" i="2"/>
  <c r="D13" i="2"/>
  <c r="G13" i="2"/>
  <c r="D14" i="2"/>
  <c r="D6" i="2"/>
  <c r="J6" i="2"/>
  <c r="G7" i="2"/>
  <c r="H6" i="2"/>
  <c r="D7" i="2"/>
  <c r="J7" i="2"/>
  <c r="G6" i="2"/>
  <c r="E6" i="2"/>
  <c r="J33" i="1"/>
  <c r="J7" i="1"/>
  <c r="J15" i="1" s="1"/>
  <c r="J42" i="1" l="1"/>
  <c r="K42" i="1" s="1"/>
  <c r="J41" i="1"/>
  <c r="K41" i="1" s="1"/>
  <c r="J37" i="1"/>
  <c r="J39" i="1"/>
  <c r="K15" i="1"/>
  <c r="J16" i="1"/>
  <c r="K16" i="1" s="1"/>
  <c r="J11" i="1"/>
  <c r="G20" i="1" s="1"/>
  <c r="J13" i="1"/>
  <c r="J34" i="1"/>
  <c r="J44" i="1" s="1"/>
  <c r="J8" i="1"/>
  <c r="K7" i="1"/>
  <c r="N7" i="1" s="1"/>
  <c r="K33" i="1"/>
  <c r="N33" i="1" s="1"/>
  <c r="G51" i="1" l="1"/>
  <c r="H51" i="1"/>
  <c r="I51" i="1"/>
  <c r="I50" i="1"/>
  <c r="H50" i="1"/>
  <c r="K39" i="1"/>
  <c r="G50" i="1"/>
  <c r="H46" i="1"/>
  <c r="H47" i="1" s="1"/>
  <c r="I46" i="1"/>
  <c r="G46" i="1"/>
  <c r="K37" i="1"/>
  <c r="K44" i="1"/>
  <c r="J43" i="1"/>
  <c r="K43" i="1" s="1"/>
  <c r="J38" i="1"/>
  <c r="J40" i="1"/>
  <c r="H25" i="1"/>
  <c r="I25" i="1"/>
  <c r="G25" i="1"/>
  <c r="G24" i="1"/>
  <c r="H24" i="1"/>
  <c r="I24" i="1"/>
  <c r="K13" i="1"/>
  <c r="G21" i="1"/>
  <c r="I20" i="1"/>
  <c r="H20" i="1"/>
  <c r="K11" i="1"/>
  <c r="J17" i="1"/>
  <c r="K17" i="1" s="1"/>
  <c r="J18" i="1"/>
  <c r="K18" i="1" s="1"/>
  <c r="J12" i="1"/>
  <c r="J14" i="1"/>
  <c r="K34" i="1"/>
  <c r="N34" i="1" s="1"/>
  <c r="N54" i="1" s="1"/>
  <c r="K8" i="1"/>
  <c r="N8" i="1" s="1"/>
  <c r="N28" i="1" s="1"/>
  <c r="J51" i="1" l="1"/>
  <c r="J50" i="1"/>
  <c r="J24" i="1"/>
  <c r="K24" i="1" s="1"/>
  <c r="L24" i="1" s="1"/>
  <c r="J25" i="1"/>
  <c r="K25" i="1" s="1"/>
  <c r="L25" i="1" s="1"/>
  <c r="K51" i="1"/>
  <c r="L51" i="1" s="1"/>
  <c r="G47" i="1"/>
  <c r="J46" i="1"/>
  <c r="K46" i="1" s="1"/>
  <c r="L46" i="1" s="1"/>
  <c r="H21" i="1"/>
  <c r="J20" i="1"/>
  <c r="K20" i="1" s="1"/>
  <c r="L20" i="1" s="1"/>
  <c r="G53" i="1"/>
  <c r="I53" i="1"/>
  <c r="H53" i="1"/>
  <c r="H52" i="1"/>
  <c r="I52" i="1"/>
  <c r="K40" i="1"/>
  <c r="G52" i="1"/>
  <c r="G49" i="1"/>
  <c r="H49" i="1"/>
  <c r="I49" i="1"/>
  <c r="H48" i="1"/>
  <c r="I48" i="1"/>
  <c r="K38" i="1"/>
  <c r="G48" i="1"/>
  <c r="I47" i="1"/>
  <c r="I21" i="1"/>
  <c r="K14" i="1"/>
  <c r="H27" i="1"/>
  <c r="I27" i="1"/>
  <c r="G27" i="1"/>
  <c r="H26" i="1"/>
  <c r="I26" i="1"/>
  <c r="G26" i="1"/>
  <c r="G23" i="1"/>
  <c r="H23" i="1"/>
  <c r="I23" i="1"/>
  <c r="H22" i="1"/>
  <c r="I22" i="1"/>
  <c r="K12" i="1"/>
  <c r="G22" i="1"/>
  <c r="J53" i="1" l="1"/>
  <c r="K53" i="1" s="1"/>
  <c r="L53" i="1" s="1"/>
  <c r="K50" i="1"/>
  <c r="L50" i="1" s="1"/>
  <c r="J27" i="1"/>
  <c r="K27" i="1" s="1"/>
  <c r="L27" i="1" s="1"/>
  <c r="J52" i="1"/>
  <c r="K52" i="1" s="1"/>
  <c r="L52" i="1" s="1"/>
  <c r="J49" i="1"/>
  <c r="K49" i="1" s="1"/>
  <c r="M49" i="1" s="1"/>
  <c r="J23" i="1"/>
  <c r="K23" i="1" s="1"/>
  <c r="M23" i="1" s="1"/>
  <c r="J26" i="1"/>
  <c r="K26" i="1" s="1"/>
  <c r="L26" i="1" s="1"/>
  <c r="J48" i="1"/>
  <c r="K48" i="1" s="1"/>
  <c r="L48" i="1" s="1"/>
  <c r="J47" i="1"/>
  <c r="K47" i="1" s="1"/>
  <c r="M47" i="1" s="1"/>
  <c r="J21" i="1"/>
  <c r="K21" i="1" s="1"/>
  <c r="M21" i="1" s="1"/>
  <c r="J22" i="1"/>
  <c r="K22" i="1" s="1"/>
  <c r="L22" i="1" s="1"/>
  <c r="L28" i="1" s="1"/>
  <c r="M54" i="1" l="1"/>
  <c r="L54" i="1"/>
  <c r="M28" i="1"/>
  <c r="O28" i="1" s="1"/>
  <c r="O54" i="1" l="1"/>
  <c r="O57" i="1" s="1"/>
  <c r="O1" i="1" s="1"/>
  <c r="P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Kay</author>
  </authors>
  <commentList>
    <comment ref="F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Mike Kay:</t>
        </r>
        <r>
          <rPr>
            <sz val="9"/>
            <color indexed="81"/>
            <rFont val="Tahoma"/>
            <family val="2"/>
          </rPr>
          <t xml:space="preserve">
Change this cell L, T, H</t>
        </r>
      </text>
    </comment>
  </commentList>
</comments>
</file>

<file path=xl/sharedStrings.xml><?xml version="1.0" encoding="utf-8"?>
<sst xmlns="http://schemas.openxmlformats.org/spreadsheetml/2006/main" count="155" uniqueCount="60">
  <si>
    <t>Totals</t>
  </si>
  <si>
    <t>Relay Change</t>
  </si>
  <si>
    <t>LoM protection is RoCoF</t>
  </si>
  <si>
    <t>LoM protection is not RoCoF</t>
  </si>
  <si>
    <t>Estimated cost per site</t>
  </si>
  <si>
    <t>Cost per Site (£)</t>
  </si>
  <si>
    <t>Total Cost (&lt;1MVA)</t>
  </si>
  <si>
    <t>Site Visit</t>
  </si>
  <si>
    <t>Change RoCoF setting with relay change</t>
  </si>
  <si>
    <t>Change RoCoF protection setting only</t>
  </si>
  <si>
    <t>Number of Sites</t>
  </si>
  <si>
    <t>Proportion of all sites</t>
  </si>
  <si>
    <t>Description</t>
  </si>
  <si>
    <t>Generation Plant Types and Actions Required</t>
  </si>
  <si>
    <t>Work Required</t>
  </si>
  <si>
    <t>Sites</t>
  </si>
  <si>
    <t>LoM protection is  RoCoF</t>
  </si>
  <si>
    <t>% of sites use RoCoF - change required</t>
  </si>
  <si>
    <t>% of sites use VS  - no change required</t>
  </si>
  <si>
    <t>L</t>
  </si>
  <si>
    <t>T</t>
  </si>
  <si>
    <t>H</t>
  </si>
  <si>
    <t>% requiring setting only</t>
  </si>
  <si>
    <t>% requiring releay change</t>
  </si>
  <si>
    <t>Estimate of numbers affected
Low, typical, high</t>
  </si>
  <si>
    <t>Low</t>
  </si>
  <si>
    <t>RoCoF</t>
  </si>
  <si>
    <t>Other</t>
  </si>
  <si>
    <t>Synch</t>
  </si>
  <si>
    <t>Asynch</t>
  </si>
  <si>
    <t>High</t>
  </si>
  <si>
    <t>Typical</t>
  </si>
  <si>
    <t>1MW-5MW</t>
  </si>
  <si>
    <t>&lt;1MW</t>
  </si>
  <si>
    <t>RoCoF Setting Only</t>
  </si>
  <si>
    <t>RoCcoF Relay Change</t>
  </si>
  <si>
    <t>VS Changes</t>
  </si>
  <si>
    <t>%ge of VS sites that cannot be reconfigured</t>
  </si>
  <si>
    <t>Synchronous Generators</t>
  </si>
  <si>
    <t>Asynchronous Generators</t>
  </si>
  <si>
    <t>% of sites use VS  - probably needs to be changed to RoCoF</t>
  </si>
  <si>
    <t>%ge of VS sites that can be reconfigured</t>
  </si>
  <si>
    <t>Synch RoCoF</t>
  </si>
  <si>
    <t>Synch VS</t>
  </si>
  <si>
    <t>Asynch RoCoF</t>
  </si>
  <si>
    <t>% capable of resetting</t>
  </si>
  <si>
    <t>% requiring relay change</t>
  </si>
  <si>
    <t>Synch replace RoCoF</t>
  </si>
  <si>
    <t>Synch - reset RoCoF</t>
  </si>
  <si>
    <t>Synch reset VS to RoCoF</t>
  </si>
  <si>
    <t>Asynch reset RoCoF</t>
  </si>
  <si>
    <t>Asynch remove RoCof</t>
  </si>
  <si>
    <t>Asynch reset VS to RoCoF</t>
  </si>
  <si>
    <t>Synch replace VS with RoCoF</t>
  </si>
  <si>
    <t>Asynch remove VS</t>
  </si>
  <si>
    <t>total</t>
  </si>
  <si>
    <t>Total Cost (&gt;5MVA)</t>
  </si>
  <si>
    <t>Total Cost (&gt;=1MVA, &lt;5MVA)</t>
  </si>
  <si>
    <t>Protection Costs:</t>
  </si>
  <si>
    <t>%ge of VS sites that cannot be reconfigured; need relay change or removal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</si>
</sst>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0_ ;\-0\ "/>
    <numFmt numFmtId="166" formatCode="0.0%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164" fontId="3" fillId="2" borderId="1" xfId="1" applyNumberFormat="1" applyFont="1" applyFill="1" applyBorder="1" applyAlignment="1">
      <alignment vertical="center"/>
    </xf>
    <xf numFmtId="164" fontId="0" fillId="2" borderId="1" xfId="1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9" fontId="2" fillId="2" borderId="1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/>
    <xf numFmtId="0" fontId="0" fillId="2" borderId="3" xfId="0" applyFill="1" applyBorder="1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9" fontId="5" fillId="3" borderId="1" xfId="2" applyFont="1" applyFill="1" applyBorder="1" applyAlignment="1">
      <alignment horizontal="center" vertical="center"/>
    </xf>
    <xf numFmtId="9" fontId="2" fillId="3" borderId="1" xfId="2" applyFont="1" applyFill="1" applyBorder="1" applyAlignment="1">
      <alignment horizontal="center" vertical="center"/>
    </xf>
    <xf numFmtId="9" fontId="2" fillId="2" borderId="1" xfId="2" applyFont="1" applyFill="1" applyBorder="1" applyAlignment="1">
      <alignment horizontal="center" vertical="center" wrapText="1"/>
    </xf>
    <xf numFmtId="9" fontId="2" fillId="3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9" fontId="2" fillId="0" borderId="1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/>
    <xf numFmtId="164" fontId="0" fillId="0" borderId="0" xfId="0" applyNumberFormat="1"/>
    <xf numFmtId="164" fontId="3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/>
    </xf>
    <xf numFmtId="1" fontId="0" fillId="0" borderId="0" xfId="0" applyNumberFormat="1"/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/>
    <xf numFmtId="1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0" fillId="0" borderId="1" xfId="1" applyNumberFormat="1" applyFont="1" applyFill="1" applyBorder="1" applyAlignment="1">
      <alignment horizontal="center" vertical="center"/>
    </xf>
    <xf numFmtId="9" fontId="2" fillId="0" borderId="1" xfId="2" applyFont="1" applyFill="1" applyBorder="1" applyAlignment="1">
      <alignment horizontal="center" vertical="center"/>
    </xf>
    <xf numFmtId="10" fontId="2" fillId="0" borderId="1" xfId="2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9" fontId="2" fillId="5" borderId="1" xfId="2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9" fontId="2" fillId="2" borderId="4" xfId="0" applyNumberFormat="1" applyFont="1" applyFill="1" applyBorder="1" applyAlignment="1">
      <alignment horizontal="center" vertical="center"/>
    </xf>
    <xf numFmtId="164" fontId="0" fillId="2" borderId="2" xfId="1" applyNumberFormat="1" applyFont="1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165" fontId="2" fillId="6" borderId="10" xfId="1" applyNumberFormat="1" applyFont="1" applyFill="1" applyBorder="1" applyAlignment="1">
      <alignment horizontal="center" vertical="center"/>
    </xf>
    <xf numFmtId="165" fontId="2" fillId="6" borderId="12" xfId="1" applyNumberFormat="1" applyFont="1" applyFill="1" applyBorder="1" applyAlignment="1">
      <alignment horizontal="center" vertical="center"/>
    </xf>
    <xf numFmtId="165" fontId="2" fillId="6" borderId="11" xfId="1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6" fontId="2" fillId="2" borderId="4" xfId="0" applyNumberFormat="1" applyFont="1" applyFill="1" applyBorder="1" applyAlignment="1">
      <alignment horizontal="center" vertical="center"/>
    </xf>
    <xf numFmtId="165" fontId="2" fillId="7" borderId="10" xfId="1" applyNumberFormat="1" applyFont="1" applyFill="1" applyBorder="1" applyAlignment="1">
      <alignment horizontal="center" vertical="center"/>
    </xf>
    <xf numFmtId="165" fontId="2" fillId="7" borderId="11" xfId="1" applyNumberFormat="1" applyFont="1" applyFill="1" applyBorder="1" applyAlignment="1">
      <alignment horizontal="center" vertical="center"/>
    </xf>
    <xf numFmtId="165" fontId="2" fillId="7" borderId="12" xfId="1" applyNumberFormat="1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10" fontId="2" fillId="2" borderId="4" xfId="0" applyNumberFormat="1" applyFont="1" applyFill="1" applyBorder="1" applyAlignment="1">
      <alignment horizontal="center" vertical="center"/>
    </xf>
    <xf numFmtId="165" fontId="2" fillId="6" borderId="13" xfId="1" applyNumberFormat="1" applyFont="1" applyFill="1" applyBorder="1" applyAlignment="1">
      <alignment horizontal="center" vertical="center"/>
    </xf>
    <xf numFmtId="165" fontId="2" fillId="6" borderId="14" xfId="1" applyNumberFormat="1" applyFont="1" applyFill="1" applyBorder="1" applyAlignment="1">
      <alignment horizontal="center" vertical="center"/>
    </xf>
    <xf numFmtId="9" fontId="2" fillId="2" borderId="1" xfId="2" applyNumberFormat="1" applyFont="1" applyFill="1" applyBorder="1" applyAlignment="1">
      <alignment horizontal="center" vertical="center" wrapText="1"/>
    </xf>
    <xf numFmtId="9" fontId="2" fillId="0" borderId="1" xfId="2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Border="1"/>
    <xf numFmtId="0" fontId="2" fillId="2" borderId="23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41" fontId="0" fillId="2" borderId="2" xfId="1" applyNumberFormat="1" applyFont="1" applyFill="1" applyBorder="1" applyAlignment="1">
      <alignment vertical="center"/>
    </xf>
    <xf numFmtId="165" fontId="2" fillId="7" borderId="29" xfId="1" applyNumberFormat="1" applyFont="1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165" fontId="2" fillId="7" borderId="13" xfId="1" applyNumberFormat="1" applyFont="1" applyFill="1" applyBorder="1" applyAlignment="1">
      <alignment horizontal="center" vertical="center"/>
    </xf>
    <xf numFmtId="3" fontId="0" fillId="2" borderId="2" xfId="1" applyNumberFormat="1" applyFont="1" applyFill="1" applyBorder="1" applyAlignment="1">
      <alignment vertical="center"/>
    </xf>
    <xf numFmtId="3" fontId="0" fillId="2" borderId="1" xfId="1" applyNumberFormat="1" applyFont="1" applyFill="1" applyBorder="1" applyAlignment="1">
      <alignment vertical="center"/>
    </xf>
    <xf numFmtId="3" fontId="3" fillId="2" borderId="1" xfId="1" applyNumberFormat="1" applyFont="1" applyFill="1" applyBorder="1" applyAlignment="1">
      <alignment vertical="center"/>
    </xf>
    <xf numFmtId="165" fontId="2" fillId="2" borderId="30" xfId="1" applyNumberFormat="1" applyFont="1" applyFill="1" applyBorder="1" applyAlignment="1">
      <alignment horizontal="center" vertical="center"/>
    </xf>
    <xf numFmtId="165" fontId="2" fillId="7" borderId="31" xfId="1" applyNumberFormat="1" applyFont="1" applyFill="1" applyBorder="1" applyAlignment="1">
      <alignment horizontal="center" vertical="center"/>
    </xf>
    <xf numFmtId="165" fontId="2" fillId="2" borderId="32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82"/>
  <sheetViews>
    <sheetView tabSelected="1" topLeftCell="B25" zoomScale="80" zoomScaleNormal="80" workbookViewId="0">
      <selection activeCell="I53" sqref="I53"/>
    </sheetView>
  </sheetViews>
  <sheetFormatPr defaultRowHeight="12.75" x14ac:dyDescent="0.2"/>
  <cols>
    <col min="2" max="2" width="3.5703125" customWidth="1"/>
    <col min="3" max="3" width="2.85546875" customWidth="1"/>
    <col min="4" max="4" width="3.28515625" customWidth="1"/>
    <col min="5" max="5" width="25.7109375" customWidth="1"/>
    <col min="6" max="6" width="18.85546875" customWidth="1"/>
    <col min="7" max="8" width="9.42578125" customWidth="1"/>
    <col min="9" max="9" width="10.5703125" customWidth="1"/>
    <col min="10" max="11" width="10.28515625" customWidth="1"/>
    <col min="12" max="14" width="13.140625" customWidth="1"/>
    <col min="15" max="15" width="15.140625" customWidth="1"/>
    <col min="16" max="16" width="12.28515625" bestFit="1" customWidth="1"/>
  </cols>
  <sheetData>
    <row r="1" spans="2:17" x14ac:dyDescent="0.2">
      <c r="N1" s="33" t="s">
        <v>55</v>
      </c>
      <c r="O1" s="34">
        <f>O57</f>
        <v>73634579.200000003</v>
      </c>
      <c r="P1" s="34">
        <f>O1+O82</f>
        <v>77789666.700000003</v>
      </c>
    </row>
    <row r="3" spans="2:17" x14ac:dyDescent="0.2">
      <c r="B3" s="21"/>
      <c r="C3" s="21"/>
      <c r="D3" s="21"/>
      <c r="E3" s="21"/>
      <c r="F3" s="21"/>
      <c r="G3" s="21"/>
      <c r="H3" s="21"/>
      <c r="I3" s="21"/>
      <c r="J3" s="109" t="s">
        <v>15</v>
      </c>
      <c r="K3" s="109"/>
      <c r="L3" s="109" t="s">
        <v>14</v>
      </c>
      <c r="M3" s="109"/>
      <c r="N3" s="109"/>
      <c r="O3" s="21"/>
    </row>
    <row r="4" spans="2:17" ht="114.75" customHeight="1" thickBot="1" x14ac:dyDescent="0.25">
      <c r="B4" s="110" t="s">
        <v>13</v>
      </c>
      <c r="C4" s="111"/>
      <c r="D4" s="111"/>
      <c r="E4" s="112"/>
      <c r="F4" s="37" t="s">
        <v>12</v>
      </c>
      <c r="G4" s="20"/>
      <c r="H4" s="20"/>
      <c r="I4" s="20"/>
      <c r="J4" s="19" t="s">
        <v>11</v>
      </c>
      <c r="K4" s="19" t="s">
        <v>10</v>
      </c>
      <c r="L4" s="19" t="s">
        <v>9</v>
      </c>
      <c r="M4" s="19" t="s">
        <v>8</v>
      </c>
      <c r="N4" s="19" t="s">
        <v>7</v>
      </c>
      <c r="O4" s="18" t="s">
        <v>57</v>
      </c>
    </row>
    <row r="5" spans="2:17" ht="44.25" customHeight="1" thickTop="1" thickBot="1" x14ac:dyDescent="0.25">
      <c r="B5" s="115" t="s">
        <v>24</v>
      </c>
      <c r="C5" s="116"/>
      <c r="D5" s="116"/>
      <c r="E5" s="116"/>
      <c r="F5" s="39" t="s">
        <v>21</v>
      </c>
      <c r="G5" s="36" t="s">
        <v>19</v>
      </c>
      <c r="H5" s="20" t="s">
        <v>20</v>
      </c>
      <c r="I5" s="20" t="s">
        <v>21</v>
      </c>
      <c r="J5" s="19"/>
      <c r="K5" s="19"/>
      <c r="L5" s="19"/>
      <c r="M5" s="19"/>
      <c r="N5" s="19"/>
      <c r="O5" s="35"/>
    </row>
    <row r="6" spans="2:17" ht="18" customHeight="1" thickTop="1" thickBot="1" x14ac:dyDescent="0.25">
      <c r="B6" s="17" t="s">
        <v>5</v>
      </c>
      <c r="C6" s="16"/>
      <c r="D6" s="16"/>
      <c r="E6" s="15"/>
      <c r="F6" s="38" t="s">
        <v>4</v>
      </c>
      <c r="G6" s="25"/>
      <c r="H6" s="25"/>
      <c r="I6" s="25"/>
      <c r="J6" s="3"/>
      <c r="K6" s="63"/>
      <c r="L6" s="51">
        <v>200</v>
      </c>
      <c r="M6" s="51">
        <v>7700</v>
      </c>
      <c r="N6" s="51">
        <v>200</v>
      </c>
      <c r="O6" s="13"/>
    </row>
    <row r="7" spans="2:17" ht="22.5" x14ac:dyDescent="0.2">
      <c r="B7" s="7" t="s">
        <v>16</v>
      </c>
      <c r="C7" s="6"/>
      <c r="D7" s="6"/>
      <c r="E7" s="5"/>
      <c r="F7" s="24" t="s">
        <v>17</v>
      </c>
      <c r="G7" s="28">
        <v>0.33</v>
      </c>
      <c r="H7" s="11">
        <v>0.5</v>
      </c>
      <c r="I7" s="28">
        <v>0.7</v>
      </c>
      <c r="J7" s="61">
        <f>HLOOKUP($F$5,G$5:I$24,3,0)</f>
        <v>0.7</v>
      </c>
      <c r="K7" s="64">
        <f>J7*K$28</f>
        <v>683.9</v>
      </c>
      <c r="L7" s="62"/>
      <c r="M7" s="2"/>
      <c r="N7" s="2">
        <f>K7*N6</f>
        <v>136780</v>
      </c>
      <c r="O7" s="2"/>
      <c r="P7" s="22"/>
      <c r="Q7" s="22"/>
    </row>
    <row r="8" spans="2:17" ht="34.5" thickBot="1" x14ac:dyDescent="0.25">
      <c r="B8" s="7" t="s">
        <v>3</v>
      </c>
      <c r="C8" s="6"/>
      <c r="D8" s="6"/>
      <c r="E8" s="5"/>
      <c r="F8" s="12" t="s">
        <v>40</v>
      </c>
      <c r="G8" s="29"/>
      <c r="H8" s="26"/>
      <c r="I8" s="29"/>
      <c r="J8" s="61">
        <f>1-J7</f>
        <v>0.30000000000000004</v>
      </c>
      <c r="K8" s="66">
        <f>J8*K$28</f>
        <v>293.10000000000002</v>
      </c>
      <c r="L8" s="62"/>
      <c r="M8" s="2"/>
      <c r="N8" s="2">
        <f>K8*N6</f>
        <v>58620.000000000007</v>
      </c>
      <c r="O8" s="2"/>
      <c r="P8" s="22"/>
      <c r="Q8" s="22"/>
    </row>
    <row r="9" spans="2:17" ht="18" customHeight="1" x14ac:dyDescent="0.2">
      <c r="B9" s="7" t="s">
        <v>38</v>
      </c>
      <c r="C9" s="6"/>
      <c r="D9" s="6"/>
      <c r="E9" s="5"/>
      <c r="F9" s="24"/>
      <c r="G9" s="28">
        <v>0.5</v>
      </c>
      <c r="H9" s="11">
        <v>0.75</v>
      </c>
      <c r="I9" s="28">
        <v>0.85</v>
      </c>
      <c r="J9" s="61">
        <f>HLOOKUP($F$5,G$5:I$24,5,0)</f>
        <v>0.85</v>
      </c>
      <c r="K9" s="69">
        <f>J9*K28</f>
        <v>830.44999999999993</v>
      </c>
      <c r="L9" s="62"/>
      <c r="M9" s="2"/>
      <c r="N9" s="2"/>
      <c r="O9" s="2"/>
      <c r="P9" s="22"/>
      <c r="Q9" s="22"/>
    </row>
    <row r="10" spans="2:17" ht="18" customHeight="1" thickBot="1" x14ac:dyDescent="0.25">
      <c r="B10" s="79" t="s">
        <v>39</v>
      </c>
      <c r="C10" s="80"/>
      <c r="D10" s="80"/>
      <c r="E10" s="88"/>
      <c r="F10" s="24"/>
      <c r="G10" s="29"/>
      <c r="H10" s="26"/>
      <c r="I10" s="29"/>
      <c r="J10" s="61">
        <f>1-J9</f>
        <v>0.15000000000000002</v>
      </c>
      <c r="K10" s="70">
        <f t="shared" ref="K10:K20" si="0">J10*K$28</f>
        <v>146.55000000000001</v>
      </c>
      <c r="L10" s="62"/>
      <c r="M10" s="2"/>
      <c r="N10" s="2"/>
      <c r="O10" s="2"/>
      <c r="P10" s="22"/>
      <c r="Q10" s="22"/>
    </row>
    <row r="11" spans="2:17" ht="18" customHeight="1" x14ac:dyDescent="0.2">
      <c r="B11" s="84"/>
      <c r="C11" s="85"/>
      <c r="D11" s="85"/>
      <c r="E11" s="92" t="s">
        <v>42</v>
      </c>
      <c r="F11" s="78"/>
      <c r="G11" s="29"/>
      <c r="H11" s="26"/>
      <c r="I11" s="29"/>
      <c r="J11" s="68">
        <f>J9*J7</f>
        <v>0.59499999999999997</v>
      </c>
      <c r="K11" s="64">
        <f t="shared" si="0"/>
        <v>581.31499999999994</v>
      </c>
      <c r="L11" s="62"/>
      <c r="M11" s="2"/>
      <c r="N11" s="2"/>
      <c r="O11" s="2"/>
      <c r="P11" s="22"/>
      <c r="Q11" s="22"/>
    </row>
    <row r="12" spans="2:17" ht="18" customHeight="1" x14ac:dyDescent="0.2">
      <c r="B12" s="93"/>
      <c r="C12" s="6"/>
      <c r="D12" s="6"/>
      <c r="E12" s="94" t="s">
        <v>43</v>
      </c>
      <c r="F12" s="78"/>
      <c r="G12" s="29"/>
      <c r="H12" s="26"/>
      <c r="I12" s="29"/>
      <c r="J12" s="68">
        <f>J9*J8</f>
        <v>0.255</v>
      </c>
      <c r="K12" s="65">
        <f t="shared" si="0"/>
        <v>249.13499999999999</v>
      </c>
      <c r="L12" s="62"/>
      <c r="M12" s="2"/>
      <c r="N12" s="2"/>
      <c r="O12" s="2"/>
      <c r="P12" s="22"/>
      <c r="Q12" s="22"/>
    </row>
    <row r="13" spans="2:17" ht="18" customHeight="1" x14ac:dyDescent="0.2">
      <c r="B13" s="93"/>
      <c r="C13" s="6"/>
      <c r="D13" s="6"/>
      <c r="E13" s="94" t="s">
        <v>44</v>
      </c>
      <c r="F13" s="78"/>
      <c r="G13" s="29"/>
      <c r="H13" s="26"/>
      <c r="I13" s="29"/>
      <c r="J13" s="68">
        <f>J10*J7</f>
        <v>0.10500000000000001</v>
      </c>
      <c r="K13" s="65">
        <f t="shared" si="0"/>
        <v>102.58500000000001</v>
      </c>
      <c r="L13" s="62"/>
      <c r="M13" s="2"/>
      <c r="N13" s="2"/>
      <c r="O13" s="2"/>
      <c r="P13" s="22"/>
      <c r="Q13" s="22"/>
    </row>
    <row r="14" spans="2:17" ht="18" customHeight="1" thickBot="1" x14ac:dyDescent="0.25">
      <c r="B14" s="86"/>
      <c r="C14" s="87"/>
      <c r="D14" s="87"/>
      <c r="E14" s="95" t="s">
        <v>43</v>
      </c>
      <c r="F14" s="78"/>
      <c r="G14" s="29"/>
      <c r="H14" s="26"/>
      <c r="I14" s="29"/>
      <c r="J14" s="68">
        <f>J10*J8</f>
        <v>4.5000000000000012E-2</v>
      </c>
      <c r="K14" s="66">
        <f t="shared" si="0"/>
        <v>43.965000000000011</v>
      </c>
      <c r="L14" s="62"/>
      <c r="M14" s="2"/>
      <c r="N14" s="2"/>
      <c r="O14" s="2"/>
      <c r="P14" s="22"/>
      <c r="Q14" s="22"/>
    </row>
    <row r="15" spans="2:17" ht="18" customHeight="1" x14ac:dyDescent="0.2">
      <c r="B15" s="96" t="s">
        <v>34</v>
      </c>
      <c r="C15" s="97"/>
      <c r="E15" s="98"/>
      <c r="F15" s="24" t="s">
        <v>45</v>
      </c>
      <c r="G15" s="31">
        <v>0.95</v>
      </c>
      <c r="H15" s="52">
        <v>0.5</v>
      </c>
      <c r="I15" s="31">
        <v>0.1</v>
      </c>
      <c r="J15" s="61">
        <f>HLOOKUP($F$5,G$5:I$24,11,0)*J7</f>
        <v>6.9999999999999993E-2</v>
      </c>
      <c r="K15" s="69">
        <f t="shared" si="0"/>
        <v>68.389999999999986</v>
      </c>
      <c r="L15" s="62"/>
      <c r="M15" s="2"/>
      <c r="N15" s="2"/>
      <c r="O15" s="2"/>
      <c r="P15" s="22"/>
      <c r="Q15" s="22"/>
    </row>
    <row r="16" spans="2:17" ht="18" customHeight="1" x14ac:dyDescent="0.2">
      <c r="B16" s="7" t="s">
        <v>35</v>
      </c>
      <c r="C16" s="6"/>
      <c r="E16" s="5"/>
      <c r="F16" s="24" t="s">
        <v>46</v>
      </c>
      <c r="G16" s="29"/>
      <c r="H16" s="27"/>
      <c r="I16" s="29"/>
      <c r="J16" s="61">
        <f>(1-HLOOKUP($F$5,G$5:I$24,11,0))*J7</f>
        <v>0.63</v>
      </c>
      <c r="K16" s="71">
        <f t="shared" si="0"/>
        <v>615.51</v>
      </c>
      <c r="L16" s="62"/>
      <c r="M16" s="2"/>
      <c r="N16" s="2"/>
      <c r="O16" s="2"/>
      <c r="P16" s="22"/>
      <c r="Q16" s="22"/>
    </row>
    <row r="17" spans="2:17" ht="45" x14ac:dyDescent="0.2">
      <c r="B17" s="9" t="s">
        <v>36</v>
      </c>
      <c r="C17" s="49"/>
      <c r="D17" s="49"/>
      <c r="E17" s="50"/>
      <c r="F17" s="4" t="s">
        <v>59</v>
      </c>
      <c r="G17" s="28">
        <v>0.1</v>
      </c>
      <c r="H17" s="11">
        <v>0.5</v>
      </c>
      <c r="I17" s="31">
        <v>0.9</v>
      </c>
      <c r="J17" s="61">
        <f>HLOOKUP($F$5,G$5:I$24,13,0)*J8</f>
        <v>0.27000000000000007</v>
      </c>
      <c r="K17" s="71">
        <f t="shared" si="0"/>
        <v>263.79000000000008</v>
      </c>
      <c r="L17" s="62"/>
      <c r="M17" s="2"/>
      <c r="N17" s="2"/>
      <c r="O17" s="2"/>
      <c r="P17" s="22"/>
      <c r="Q17" s="22"/>
    </row>
    <row r="18" spans="2:17" ht="23.25" thickBot="1" x14ac:dyDescent="0.25">
      <c r="B18" s="9" t="s">
        <v>36</v>
      </c>
      <c r="C18" s="54"/>
      <c r="D18" s="54"/>
      <c r="E18" s="55"/>
      <c r="F18" s="4" t="s">
        <v>41</v>
      </c>
      <c r="G18" s="56">
        <f>1-G17</f>
        <v>0.9</v>
      </c>
      <c r="H18" s="56">
        <f t="shared" ref="H18:I18" si="1">1-H17</f>
        <v>0.5</v>
      </c>
      <c r="I18" s="56">
        <f t="shared" si="1"/>
        <v>9.9999999999999978E-2</v>
      </c>
      <c r="J18" s="61">
        <f>HLOOKUP($F$5,G$5:I$24,14,0)*J8</f>
        <v>0.03</v>
      </c>
      <c r="K18" s="70">
        <f t="shared" si="0"/>
        <v>29.31</v>
      </c>
      <c r="L18" s="62"/>
      <c r="M18" s="2"/>
      <c r="N18" s="2"/>
      <c r="O18" s="2"/>
      <c r="P18" s="22"/>
      <c r="Q18" s="22"/>
    </row>
    <row r="19" spans="2:17" ht="13.5" thickBot="1" x14ac:dyDescent="0.25">
      <c r="B19" s="7" t="s">
        <v>58</v>
      </c>
      <c r="C19" s="59"/>
      <c r="D19" s="59"/>
      <c r="E19" s="60"/>
      <c r="F19" s="4"/>
      <c r="G19" s="28"/>
      <c r="H19" s="28"/>
      <c r="I19" s="28"/>
      <c r="J19" s="61"/>
      <c r="K19" s="106"/>
      <c r="L19" s="62"/>
      <c r="M19" s="2"/>
      <c r="N19" s="2"/>
      <c r="O19" s="2"/>
      <c r="P19" s="22"/>
      <c r="Q19" s="22"/>
    </row>
    <row r="20" spans="2:17" ht="18" customHeight="1" x14ac:dyDescent="0.2">
      <c r="B20" s="9"/>
      <c r="C20" s="113" t="s">
        <v>48</v>
      </c>
      <c r="D20" s="113"/>
      <c r="E20" s="114"/>
      <c r="F20" s="4"/>
      <c r="G20" s="76">
        <f>$J11*G15</f>
        <v>0.56524999999999992</v>
      </c>
      <c r="H20" s="76">
        <f t="shared" ref="H20:I20" si="2">$J11*H15</f>
        <v>0.29749999999999999</v>
      </c>
      <c r="I20" s="76">
        <f t="shared" si="2"/>
        <v>5.9499999999999997E-2</v>
      </c>
      <c r="J20" s="61">
        <f>HLOOKUP($F$5,G$5:I$24,16,0)</f>
        <v>5.9499999999999997E-2</v>
      </c>
      <c r="K20" s="64">
        <f t="shared" si="0"/>
        <v>58.131499999999996</v>
      </c>
      <c r="L20" s="103">
        <f>K20*L6</f>
        <v>11626.3</v>
      </c>
      <c r="M20" s="104"/>
      <c r="N20" s="104"/>
      <c r="O20" s="104"/>
      <c r="P20" s="22"/>
      <c r="Q20" s="22"/>
    </row>
    <row r="21" spans="2:17" ht="18" customHeight="1" x14ac:dyDescent="0.2">
      <c r="B21" s="9"/>
      <c r="C21" s="10" t="s">
        <v>47</v>
      </c>
      <c r="D21" s="10"/>
      <c r="E21" s="5"/>
      <c r="F21" s="4"/>
      <c r="G21" s="77">
        <f>$J11-G20</f>
        <v>2.9750000000000054E-2</v>
      </c>
      <c r="H21" s="77">
        <f t="shared" ref="H21:I21" si="3">$J11-H20</f>
        <v>0.29749999999999999</v>
      </c>
      <c r="I21" s="77">
        <f t="shared" si="3"/>
        <v>0.53549999999999998</v>
      </c>
      <c r="J21" s="61">
        <f>HLOOKUP($F$5,G$5:I$24,17,0)</f>
        <v>0.53549999999999998</v>
      </c>
      <c r="K21" s="74">
        <f t="shared" ref="K21:K27" si="4">J21*K$28</f>
        <v>523.18349999999998</v>
      </c>
      <c r="L21" s="103"/>
      <c r="M21" s="104">
        <f>K21*M6</f>
        <v>4028512.9499999997</v>
      </c>
      <c r="N21" s="104"/>
      <c r="O21" s="104"/>
      <c r="P21" s="22"/>
      <c r="Q21" s="22"/>
    </row>
    <row r="22" spans="2:17" ht="18" customHeight="1" x14ac:dyDescent="0.2">
      <c r="B22" s="9"/>
      <c r="C22" s="10" t="s">
        <v>49</v>
      </c>
      <c r="D22" s="6"/>
      <c r="E22" s="8"/>
      <c r="F22" s="4"/>
      <c r="G22" s="76">
        <f>$J12*G18</f>
        <v>0.22950000000000001</v>
      </c>
      <c r="H22" s="76">
        <f t="shared" ref="H22:I22" si="5">$J12*H18</f>
        <v>0.1275</v>
      </c>
      <c r="I22" s="76">
        <f t="shared" si="5"/>
        <v>2.5499999999999995E-2</v>
      </c>
      <c r="J22" s="61">
        <f>HLOOKUP($F$5,G$5:I$24,18,0)</f>
        <v>2.5499999999999995E-2</v>
      </c>
      <c r="K22" s="74">
        <f t="shared" si="4"/>
        <v>24.913499999999996</v>
      </c>
      <c r="L22" s="103">
        <f>K22*L6</f>
        <v>4982.6999999999989</v>
      </c>
      <c r="M22" s="104"/>
      <c r="N22" s="104"/>
      <c r="O22" s="104"/>
      <c r="P22" s="22"/>
      <c r="Q22" s="22"/>
    </row>
    <row r="23" spans="2:17" ht="18" customHeight="1" x14ac:dyDescent="0.2">
      <c r="B23" s="9"/>
      <c r="C23" s="10" t="s">
        <v>53</v>
      </c>
      <c r="D23" s="6"/>
      <c r="E23" s="8"/>
      <c r="F23" s="4"/>
      <c r="G23" s="76">
        <f>$J12*G17</f>
        <v>2.5500000000000002E-2</v>
      </c>
      <c r="H23" s="76">
        <f t="shared" ref="H23:I23" si="6">$J12*H17</f>
        <v>0.1275</v>
      </c>
      <c r="I23" s="76">
        <f t="shared" si="6"/>
        <v>0.22950000000000001</v>
      </c>
      <c r="J23" s="61">
        <f>HLOOKUP($F$5,G$5:I$24,19,0)</f>
        <v>0.22950000000000001</v>
      </c>
      <c r="K23" s="74">
        <f t="shared" si="4"/>
        <v>224.22150000000002</v>
      </c>
      <c r="L23" s="103"/>
      <c r="M23" s="104">
        <f>K23*M6</f>
        <v>1726505.55</v>
      </c>
      <c r="N23" s="104"/>
      <c r="O23" s="104"/>
      <c r="P23" s="22"/>
      <c r="Q23" s="22"/>
    </row>
    <row r="24" spans="2:17" ht="18" customHeight="1" x14ac:dyDescent="0.2">
      <c r="B24" s="9"/>
      <c r="C24" s="10" t="s">
        <v>50</v>
      </c>
      <c r="D24" s="6"/>
      <c r="E24" s="8"/>
      <c r="F24" s="4"/>
      <c r="G24" s="76">
        <f>$J13*G15</f>
        <v>9.9750000000000005E-2</v>
      </c>
      <c r="H24" s="76">
        <f t="shared" ref="H24:I24" si="7">$J13*H15</f>
        <v>5.2500000000000005E-2</v>
      </c>
      <c r="I24" s="76">
        <f t="shared" si="7"/>
        <v>1.0500000000000002E-2</v>
      </c>
      <c r="J24" s="61">
        <f>HLOOKUP($F$5,G$5:I$27,20,0)</f>
        <v>1.0500000000000002E-2</v>
      </c>
      <c r="K24" s="74">
        <f t="shared" si="4"/>
        <v>10.258500000000002</v>
      </c>
      <c r="L24" s="103">
        <f>K24*L$6</f>
        <v>2051.7000000000003</v>
      </c>
      <c r="M24" s="104"/>
      <c r="N24" s="104"/>
      <c r="O24" s="104"/>
      <c r="P24" s="22"/>
      <c r="Q24" s="22"/>
    </row>
    <row r="25" spans="2:17" ht="18" customHeight="1" x14ac:dyDescent="0.2">
      <c r="B25" s="9"/>
      <c r="C25" s="10" t="s">
        <v>51</v>
      </c>
      <c r="D25" s="6"/>
      <c r="E25" s="8"/>
      <c r="F25" s="4"/>
      <c r="G25" s="76">
        <f>$J13*(1-G15)</f>
        <v>5.2500000000000055E-3</v>
      </c>
      <c r="H25" s="76">
        <f t="shared" ref="H25:I25" si="8">$J13*(1-H15)</f>
        <v>5.2500000000000005E-2</v>
      </c>
      <c r="I25" s="76">
        <f t="shared" si="8"/>
        <v>9.4500000000000015E-2</v>
      </c>
      <c r="J25" s="61">
        <f>HLOOKUP($F$5,G$5:I$27,21,0)</f>
        <v>9.4500000000000015E-2</v>
      </c>
      <c r="K25" s="74">
        <f t="shared" si="4"/>
        <v>92.32650000000001</v>
      </c>
      <c r="L25" s="103">
        <f t="shared" ref="L25:L27" si="9">K25*L$6</f>
        <v>18465.300000000003</v>
      </c>
      <c r="M25" s="104"/>
      <c r="N25" s="104"/>
      <c r="O25" s="104"/>
      <c r="P25" s="22"/>
      <c r="Q25" s="22"/>
    </row>
    <row r="26" spans="2:17" ht="18" customHeight="1" x14ac:dyDescent="0.2">
      <c r="B26" s="9"/>
      <c r="C26" s="10" t="s">
        <v>52</v>
      </c>
      <c r="D26" s="6"/>
      <c r="E26" s="8"/>
      <c r="F26" s="4"/>
      <c r="G26" s="76">
        <f>$J14*G18</f>
        <v>4.0500000000000015E-2</v>
      </c>
      <c r="H26" s="76">
        <f t="shared" ref="H26:I26" si="10">$J14*H18</f>
        <v>2.2500000000000006E-2</v>
      </c>
      <c r="I26" s="76">
        <f t="shared" si="10"/>
        <v>4.5000000000000005E-3</v>
      </c>
      <c r="J26" s="61">
        <f>HLOOKUP($F$5,G$5:I$27,22,0)</f>
        <v>4.5000000000000005E-3</v>
      </c>
      <c r="K26" s="74">
        <f t="shared" si="4"/>
        <v>4.3965000000000005</v>
      </c>
      <c r="L26" s="103">
        <f t="shared" si="9"/>
        <v>879.30000000000007</v>
      </c>
      <c r="M26" s="104"/>
      <c r="N26" s="104"/>
      <c r="O26" s="104"/>
      <c r="P26" s="22"/>
      <c r="Q26" s="22"/>
    </row>
    <row r="27" spans="2:17" ht="18" customHeight="1" thickBot="1" x14ac:dyDescent="0.25">
      <c r="B27" s="9"/>
      <c r="C27" s="10" t="s">
        <v>54</v>
      </c>
      <c r="D27" s="6"/>
      <c r="E27" s="8"/>
      <c r="F27" s="4"/>
      <c r="G27" s="76">
        <f>$J14*G17</f>
        <v>4.5000000000000014E-3</v>
      </c>
      <c r="H27" s="76">
        <f t="shared" ref="H27:I27" si="11">$J14*H17</f>
        <v>2.2500000000000006E-2</v>
      </c>
      <c r="I27" s="76">
        <f t="shared" si="11"/>
        <v>4.0500000000000015E-2</v>
      </c>
      <c r="J27" s="61">
        <f>HLOOKUP($F$5,G$5:I$27,23,0)</f>
        <v>4.0500000000000015E-2</v>
      </c>
      <c r="K27" s="75">
        <f t="shared" si="4"/>
        <v>39.568500000000014</v>
      </c>
      <c r="L27" s="103">
        <f t="shared" si="9"/>
        <v>7913.7000000000025</v>
      </c>
      <c r="M27" s="104"/>
      <c r="N27" s="104"/>
      <c r="O27" s="104"/>
      <c r="P27" s="22"/>
      <c r="Q27" s="22"/>
    </row>
    <row r="28" spans="2:17" ht="18" customHeight="1" thickBot="1" x14ac:dyDescent="0.25">
      <c r="B28" s="7" t="s">
        <v>0</v>
      </c>
      <c r="C28" s="6"/>
      <c r="D28" s="6"/>
      <c r="E28" s="5"/>
      <c r="F28" s="4"/>
      <c r="G28" s="30"/>
      <c r="H28" s="30"/>
      <c r="I28" s="30"/>
      <c r="J28" s="67"/>
      <c r="K28" s="72">
        <v>977</v>
      </c>
      <c r="L28" s="103">
        <f>SUM(L7:L24)</f>
        <v>18660.7</v>
      </c>
      <c r="M28" s="104">
        <f>SUM(M7:M24)</f>
        <v>5755018.5</v>
      </c>
      <c r="N28" s="104">
        <f>SUM(N7:N24)</f>
        <v>195400</v>
      </c>
      <c r="O28" s="105">
        <f>SUM(L28:N28)</f>
        <v>5969079.2000000002</v>
      </c>
      <c r="P28" s="22"/>
      <c r="Q28" s="22"/>
    </row>
    <row r="29" spans="2:17" ht="27" customHeight="1" x14ac:dyDescent="0.2">
      <c r="B29" s="22"/>
      <c r="C29" s="22"/>
      <c r="D29" s="22"/>
      <c r="E29" s="22"/>
      <c r="F29" s="23"/>
      <c r="G29" s="23"/>
      <c r="H29" s="23"/>
      <c r="I29" s="23"/>
      <c r="P29" s="22"/>
      <c r="Q29" s="22"/>
    </row>
    <row r="30" spans="2:17" x14ac:dyDescent="0.2">
      <c r="B30" s="21"/>
      <c r="C30" s="21"/>
      <c r="D30" s="21"/>
      <c r="E30" s="21"/>
      <c r="F30" s="21"/>
      <c r="G30" s="21"/>
      <c r="H30" s="21"/>
      <c r="I30" s="21"/>
      <c r="J30" s="109" t="s">
        <v>15</v>
      </c>
      <c r="K30" s="109"/>
      <c r="L30" s="109" t="s">
        <v>14</v>
      </c>
      <c r="M30" s="109"/>
      <c r="N30" s="109"/>
      <c r="O30" s="21"/>
    </row>
    <row r="31" spans="2:17" ht="114.75" customHeight="1" x14ac:dyDescent="0.2">
      <c r="B31" s="110" t="s">
        <v>13</v>
      </c>
      <c r="C31" s="111"/>
      <c r="D31" s="111"/>
      <c r="E31" s="112"/>
      <c r="F31" s="20" t="s">
        <v>12</v>
      </c>
      <c r="G31" s="20"/>
      <c r="H31" s="20"/>
      <c r="I31" s="20"/>
      <c r="J31" s="19" t="s">
        <v>11</v>
      </c>
      <c r="K31" s="19" t="s">
        <v>10</v>
      </c>
      <c r="L31" s="19" t="s">
        <v>9</v>
      </c>
      <c r="M31" s="19" t="s">
        <v>8</v>
      </c>
      <c r="N31" s="19" t="s">
        <v>7</v>
      </c>
      <c r="O31" s="18" t="s">
        <v>6</v>
      </c>
    </row>
    <row r="32" spans="2:17" ht="18" customHeight="1" thickBot="1" x14ac:dyDescent="0.25">
      <c r="B32" s="17" t="s">
        <v>5</v>
      </c>
      <c r="C32" s="16"/>
      <c r="D32" s="16"/>
      <c r="E32" s="15"/>
      <c r="F32" s="14" t="s">
        <v>4</v>
      </c>
      <c r="G32" s="32" t="s">
        <v>19</v>
      </c>
      <c r="H32" s="32" t="s">
        <v>20</v>
      </c>
      <c r="I32" s="32" t="s">
        <v>21</v>
      </c>
      <c r="J32" s="3"/>
      <c r="K32" s="63"/>
      <c r="L32" s="51">
        <v>200</v>
      </c>
      <c r="M32" s="51">
        <v>7700</v>
      </c>
      <c r="N32" s="51">
        <v>200</v>
      </c>
      <c r="O32" s="13"/>
    </row>
    <row r="33" spans="2:15" ht="22.5" x14ac:dyDescent="0.2">
      <c r="B33" s="7" t="s">
        <v>2</v>
      </c>
      <c r="C33" s="6"/>
      <c r="D33" s="6"/>
      <c r="E33" s="5"/>
      <c r="F33" s="24" t="s">
        <v>17</v>
      </c>
      <c r="G33" s="28">
        <v>0.05</v>
      </c>
      <c r="H33" s="28">
        <v>0.12</v>
      </c>
      <c r="I33" s="31">
        <v>0.14000000000000001</v>
      </c>
      <c r="J33" s="61">
        <f>HLOOKUP($F$5,G$32:I$54,2,0)</f>
        <v>0.14000000000000001</v>
      </c>
      <c r="K33" s="64">
        <f>J33*K$54</f>
        <v>5413.2400000000007</v>
      </c>
      <c r="L33" s="62"/>
      <c r="M33" s="2"/>
      <c r="N33" s="2">
        <f>K33*N32</f>
        <v>1082648.0000000002</v>
      </c>
      <c r="O33" s="2"/>
    </row>
    <row r="34" spans="2:15" ht="23.25" thickBot="1" x14ac:dyDescent="0.25">
      <c r="B34" s="7" t="s">
        <v>3</v>
      </c>
      <c r="C34" s="6"/>
      <c r="D34" s="6"/>
      <c r="E34" s="5"/>
      <c r="F34" s="24" t="s">
        <v>18</v>
      </c>
      <c r="G34" s="29"/>
      <c r="H34" s="29"/>
      <c r="I34" s="29"/>
      <c r="J34" s="61">
        <f>1-J33</f>
        <v>0.86</v>
      </c>
      <c r="K34" s="66">
        <f>J34*K$54</f>
        <v>33252.76</v>
      </c>
      <c r="L34" s="62"/>
      <c r="M34" s="2"/>
      <c r="N34" s="2">
        <f>K34*N32</f>
        <v>6650552</v>
      </c>
      <c r="O34" s="2"/>
    </row>
    <row r="35" spans="2:15" ht="18" customHeight="1" x14ac:dyDescent="0.2">
      <c r="B35" s="7" t="s">
        <v>38</v>
      </c>
      <c r="C35" s="6"/>
      <c r="D35" s="6"/>
      <c r="E35" s="5"/>
      <c r="F35" s="24"/>
      <c r="G35" s="31">
        <v>0.01</v>
      </c>
      <c r="H35" s="53">
        <v>2.75E-2</v>
      </c>
      <c r="I35" s="31">
        <v>0.2</v>
      </c>
      <c r="J35" s="61">
        <f>HLOOKUP($F$5,G$32:I$53,4,0)</f>
        <v>0.2</v>
      </c>
      <c r="K35" s="69">
        <f>J35*K54</f>
        <v>7733.2000000000007</v>
      </c>
      <c r="L35" s="62"/>
      <c r="M35" s="2"/>
      <c r="N35" s="2"/>
      <c r="O35" s="2"/>
    </row>
    <row r="36" spans="2:15" ht="18" customHeight="1" thickBot="1" x14ac:dyDescent="0.25">
      <c r="B36" s="79" t="s">
        <v>39</v>
      </c>
      <c r="C36" s="80"/>
      <c r="D36" s="80"/>
      <c r="E36" s="88"/>
      <c r="F36" s="24"/>
      <c r="G36" s="29"/>
      <c r="H36" s="29"/>
      <c r="I36" s="29"/>
      <c r="J36" s="61">
        <f>1-J35</f>
        <v>0.8</v>
      </c>
      <c r="K36" s="100">
        <f>K54*J36</f>
        <v>30932.800000000003</v>
      </c>
      <c r="L36" s="62"/>
      <c r="M36" s="2"/>
      <c r="N36" s="2"/>
      <c r="O36" s="2"/>
    </row>
    <row r="37" spans="2:15" ht="18" customHeight="1" x14ac:dyDescent="0.2">
      <c r="B37" s="84"/>
      <c r="C37" s="85"/>
      <c r="D37" s="85"/>
      <c r="E37" s="92" t="s">
        <v>42</v>
      </c>
      <c r="F37" s="78"/>
      <c r="G37" s="29"/>
      <c r="H37" s="26"/>
      <c r="I37" s="29"/>
      <c r="J37" s="68">
        <f>J35*J33</f>
        <v>2.8000000000000004E-2</v>
      </c>
      <c r="K37" s="64">
        <f t="shared" ref="K37:K44" si="12">J37*K$54</f>
        <v>1082.6480000000001</v>
      </c>
      <c r="L37" s="62"/>
      <c r="M37" s="2"/>
      <c r="N37" s="2"/>
      <c r="O37" s="2"/>
    </row>
    <row r="38" spans="2:15" ht="18" customHeight="1" x14ac:dyDescent="0.2">
      <c r="B38" s="93"/>
      <c r="C38" s="6"/>
      <c r="D38" s="6"/>
      <c r="E38" s="94" t="s">
        <v>43</v>
      </c>
      <c r="F38" s="78"/>
      <c r="G38" s="29"/>
      <c r="H38" s="26"/>
      <c r="I38" s="29"/>
      <c r="J38" s="68">
        <f>J35*J34</f>
        <v>0.17200000000000001</v>
      </c>
      <c r="K38" s="65">
        <f t="shared" si="12"/>
        <v>6650.5520000000006</v>
      </c>
      <c r="L38" s="62"/>
      <c r="M38" s="2"/>
      <c r="N38" s="2"/>
      <c r="O38" s="2"/>
    </row>
    <row r="39" spans="2:15" ht="18" customHeight="1" x14ac:dyDescent="0.2">
      <c r="B39" s="93"/>
      <c r="C39" s="6"/>
      <c r="D39" s="6"/>
      <c r="E39" s="94" t="s">
        <v>44</v>
      </c>
      <c r="F39" s="78"/>
      <c r="G39" s="29"/>
      <c r="H39" s="26"/>
      <c r="I39" s="29"/>
      <c r="J39" s="68">
        <f>J36*J33</f>
        <v>0.11200000000000002</v>
      </c>
      <c r="K39" s="65">
        <f t="shared" si="12"/>
        <v>4330.5920000000006</v>
      </c>
      <c r="L39" s="62"/>
      <c r="M39" s="2"/>
      <c r="N39" s="2"/>
      <c r="O39" s="2"/>
    </row>
    <row r="40" spans="2:15" ht="18" customHeight="1" thickBot="1" x14ac:dyDescent="0.25">
      <c r="B40" s="86"/>
      <c r="C40" s="87"/>
      <c r="D40" s="87"/>
      <c r="E40" s="95" t="s">
        <v>43</v>
      </c>
      <c r="F40" s="78"/>
      <c r="G40" s="29"/>
      <c r="H40" s="26"/>
      <c r="I40" s="29"/>
      <c r="J40" s="68">
        <f>J36*J34</f>
        <v>0.68800000000000006</v>
      </c>
      <c r="K40" s="66">
        <f t="shared" si="12"/>
        <v>26602.208000000002</v>
      </c>
      <c r="L40" s="62"/>
      <c r="M40" s="2"/>
      <c r="N40" s="2"/>
      <c r="O40" s="2"/>
    </row>
    <row r="41" spans="2:15" ht="18" customHeight="1" x14ac:dyDescent="0.2">
      <c r="B41" s="89" t="s">
        <v>34</v>
      </c>
      <c r="C41" s="90"/>
      <c r="D41" s="91"/>
      <c r="E41" s="90"/>
      <c r="F41" s="78" t="s">
        <v>22</v>
      </c>
      <c r="G41" s="31">
        <v>0.95</v>
      </c>
      <c r="H41" s="52">
        <v>0.5</v>
      </c>
      <c r="I41" s="31">
        <v>0.1</v>
      </c>
      <c r="J41" s="61">
        <f>HLOOKUP($F$5,G$32:I$54,10,0)*J33</f>
        <v>1.4000000000000002E-2</v>
      </c>
      <c r="K41" s="102">
        <f t="shared" si="12"/>
        <v>541.32400000000007</v>
      </c>
      <c r="L41" s="62"/>
      <c r="M41" s="2"/>
      <c r="N41" s="2"/>
      <c r="O41" s="2"/>
    </row>
    <row r="42" spans="2:15" ht="22.5" x14ac:dyDescent="0.2">
      <c r="B42" s="17" t="s">
        <v>1</v>
      </c>
      <c r="C42" s="13"/>
      <c r="D42" s="41"/>
      <c r="E42" s="13"/>
      <c r="F42" s="78" t="s">
        <v>23</v>
      </c>
      <c r="G42" s="29"/>
      <c r="H42" s="29"/>
      <c r="I42" s="29"/>
      <c r="J42" s="73">
        <f>(1-HLOOKUP($F$5,G$32:I$54,10,0))*J33</f>
        <v>0.12600000000000003</v>
      </c>
      <c r="K42" s="71">
        <f t="shared" si="12"/>
        <v>4871.9160000000011</v>
      </c>
      <c r="L42" s="62"/>
      <c r="M42" s="2"/>
      <c r="N42" s="2"/>
      <c r="O42" s="2"/>
    </row>
    <row r="43" spans="2:15" ht="45" x14ac:dyDescent="0.2">
      <c r="B43" s="81" t="s">
        <v>36</v>
      </c>
      <c r="C43" s="82"/>
      <c r="D43" s="82"/>
      <c r="E43" s="83"/>
      <c r="F43" s="4" t="s">
        <v>59</v>
      </c>
      <c r="G43" s="28">
        <v>0.1</v>
      </c>
      <c r="H43" s="11">
        <v>0.5</v>
      </c>
      <c r="I43" s="31">
        <v>0.9</v>
      </c>
      <c r="J43" s="73">
        <f>HLOOKUP($F$5,G$32:I$54,12,0)*J34</f>
        <v>0.77400000000000002</v>
      </c>
      <c r="K43" s="71">
        <f t="shared" si="12"/>
        <v>29927.484</v>
      </c>
      <c r="L43" s="62"/>
      <c r="M43" s="2"/>
      <c r="N43" s="2"/>
      <c r="O43" s="2"/>
    </row>
    <row r="44" spans="2:15" ht="23.25" thickBot="1" x14ac:dyDescent="0.25">
      <c r="B44" s="9" t="s">
        <v>36</v>
      </c>
      <c r="C44" s="54"/>
      <c r="D44" s="54"/>
      <c r="E44" s="55"/>
      <c r="F44" s="4" t="s">
        <v>41</v>
      </c>
      <c r="G44" s="56">
        <f>1-G43</f>
        <v>0.9</v>
      </c>
      <c r="H44" s="56">
        <f t="shared" ref="H44:I44" si="13">1-H43</f>
        <v>0.5</v>
      </c>
      <c r="I44" s="56">
        <f t="shared" si="13"/>
        <v>9.9999999999999978E-2</v>
      </c>
      <c r="J44" s="61">
        <f>HLOOKUP($F$5,G$32:I$54,13,0)*J34</f>
        <v>8.5999999999999979E-2</v>
      </c>
      <c r="K44" s="107">
        <f t="shared" si="12"/>
        <v>3325.2759999999994</v>
      </c>
      <c r="L44" s="99"/>
      <c r="M44" s="2"/>
      <c r="N44" s="2"/>
      <c r="O44" s="2"/>
    </row>
    <row r="45" spans="2:15" ht="14.25" thickTop="1" thickBot="1" x14ac:dyDescent="0.25">
      <c r="B45" s="7" t="s">
        <v>58</v>
      </c>
      <c r="C45" s="59"/>
      <c r="D45" s="59"/>
      <c r="E45" s="60"/>
      <c r="F45" s="4"/>
      <c r="G45" s="28"/>
      <c r="H45" s="28"/>
      <c r="I45" s="28"/>
      <c r="J45" s="61"/>
      <c r="K45" s="108"/>
      <c r="L45" s="99"/>
      <c r="M45" s="2"/>
      <c r="N45" s="2"/>
      <c r="O45" s="2"/>
    </row>
    <row r="46" spans="2:15" ht="18" customHeight="1" x14ac:dyDescent="0.2">
      <c r="B46" s="9"/>
      <c r="C46" s="113" t="s">
        <v>48</v>
      </c>
      <c r="D46" s="113"/>
      <c r="E46" s="114"/>
      <c r="F46" s="4"/>
      <c r="G46" s="76">
        <f>$J37*G41</f>
        <v>2.6600000000000002E-2</v>
      </c>
      <c r="H46" s="76">
        <f>$J37*H41</f>
        <v>1.4000000000000002E-2</v>
      </c>
      <c r="I46" s="76">
        <f>$J37*I41</f>
        <v>2.8000000000000004E-3</v>
      </c>
      <c r="J46" s="61">
        <f>HLOOKUP($F$5,G$32:I$53,15,0)</f>
        <v>2.8000000000000004E-3</v>
      </c>
      <c r="K46" s="64">
        <f>J46*K$54</f>
        <v>108.26480000000002</v>
      </c>
      <c r="L46" s="62">
        <f>K46*L$32</f>
        <v>21652.960000000003</v>
      </c>
      <c r="M46" s="2"/>
      <c r="N46" s="2"/>
      <c r="O46" s="2"/>
    </row>
    <row r="47" spans="2:15" ht="18" customHeight="1" x14ac:dyDescent="0.2">
      <c r="B47" s="9"/>
      <c r="C47" s="10" t="s">
        <v>47</v>
      </c>
      <c r="D47" s="10"/>
      <c r="E47" s="5"/>
      <c r="F47" s="4"/>
      <c r="G47" s="77">
        <f>$J37-G46</f>
        <v>1.4000000000000019E-3</v>
      </c>
      <c r="H47" s="77">
        <f>$J37-H46</f>
        <v>1.4000000000000002E-2</v>
      </c>
      <c r="I47" s="77">
        <f>$J37-I46</f>
        <v>2.5200000000000004E-2</v>
      </c>
      <c r="J47" s="61">
        <f>HLOOKUP($F$5,G$32:I$53,16,0)</f>
        <v>2.5200000000000004E-2</v>
      </c>
      <c r="K47" s="65">
        <f t="shared" ref="K47:K53" si="14">J47*K$54</f>
        <v>974.3832000000001</v>
      </c>
      <c r="L47" s="62"/>
      <c r="M47" s="2">
        <f>K47*M$32</f>
        <v>7502750.6400000006</v>
      </c>
      <c r="N47" s="2"/>
      <c r="O47" s="2"/>
    </row>
    <row r="48" spans="2:15" ht="18" customHeight="1" x14ac:dyDescent="0.2">
      <c r="B48" s="9"/>
      <c r="C48" s="10" t="s">
        <v>49</v>
      </c>
      <c r="D48" s="6"/>
      <c r="E48" s="8"/>
      <c r="F48" s="4"/>
      <c r="G48" s="76">
        <f>$J38*G44</f>
        <v>0.15480000000000002</v>
      </c>
      <c r="H48" s="76">
        <f>$J38*H44</f>
        <v>8.6000000000000007E-2</v>
      </c>
      <c r="I48" s="76">
        <f>$J38*I44</f>
        <v>1.7199999999999997E-2</v>
      </c>
      <c r="J48" s="61">
        <f>HLOOKUP($F$5,G$32:I$53,17,0)</f>
        <v>1.7199999999999997E-2</v>
      </c>
      <c r="K48" s="65">
        <f t="shared" si="14"/>
        <v>665.0551999999999</v>
      </c>
      <c r="L48" s="62">
        <f t="shared" ref="L48:L53" si="15">K48*L$32</f>
        <v>133011.03999999998</v>
      </c>
      <c r="M48" s="2"/>
      <c r="N48" s="2"/>
      <c r="O48" s="2"/>
    </row>
    <row r="49" spans="2:15" ht="18" customHeight="1" x14ac:dyDescent="0.2">
      <c r="B49" s="9"/>
      <c r="C49" s="10" t="s">
        <v>53</v>
      </c>
      <c r="D49" s="6"/>
      <c r="E49" s="8"/>
      <c r="F49" s="4"/>
      <c r="G49" s="76">
        <f>$J38*G43</f>
        <v>1.7200000000000003E-2</v>
      </c>
      <c r="H49" s="76">
        <f>$J38*H43</f>
        <v>8.6000000000000007E-2</v>
      </c>
      <c r="I49" s="76">
        <f>$J38*I43</f>
        <v>0.15480000000000002</v>
      </c>
      <c r="J49" s="61">
        <f>HLOOKUP($F$5,G$32:I$53,18,0)</f>
        <v>0.15480000000000002</v>
      </c>
      <c r="K49" s="65">
        <f t="shared" si="14"/>
        <v>5985.4968000000008</v>
      </c>
      <c r="L49" s="62"/>
      <c r="M49" s="2">
        <f>K49*M$32</f>
        <v>46088325.360000007</v>
      </c>
      <c r="N49" s="2"/>
      <c r="O49" s="2"/>
    </row>
    <row r="50" spans="2:15" ht="18" customHeight="1" x14ac:dyDescent="0.2">
      <c r="B50" s="9"/>
      <c r="C50" s="10" t="s">
        <v>50</v>
      </c>
      <c r="D50" s="6"/>
      <c r="E50" s="8"/>
      <c r="F50" s="4"/>
      <c r="G50" s="76">
        <f>$J39*G41</f>
        <v>0.10640000000000001</v>
      </c>
      <c r="H50" s="76">
        <f>$J39*H41</f>
        <v>5.6000000000000008E-2</v>
      </c>
      <c r="I50" s="76">
        <f>$J39*I41</f>
        <v>1.1200000000000002E-2</v>
      </c>
      <c r="J50" s="61">
        <f>HLOOKUP($F$5,G$32:I$53,19,0)</f>
        <v>1.1200000000000002E-2</v>
      </c>
      <c r="K50" s="65">
        <f t="shared" si="14"/>
        <v>433.05920000000009</v>
      </c>
      <c r="L50" s="62">
        <f t="shared" si="15"/>
        <v>86611.840000000011</v>
      </c>
      <c r="M50" s="2"/>
      <c r="N50" s="2"/>
      <c r="O50" s="2"/>
    </row>
    <row r="51" spans="2:15" ht="18" customHeight="1" x14ac:dyDescent="0.2">
      <c r="B51" s="9"/>
      <c r="C51" s="10" t="s">
        <v>51</v>
      </c>
      <c r="D51" s="6"/>
      <c r="E51" s="8"/>
      <c r="F51" s="4"/>
      <c r="G51" s="76">
        <f>$J39*(1-G41)</f>
        <v>5.600000000000006E-3</v>
      </c>
      <c r="H51" s="76">
        <f>$J39*(1-H41)</f>
        <v>5.6000000000000008E-2</v>
      </c>
      <c r="I51" s="76">
        <f>$J39*(1-I41)</f>
        <v>0.10080000000000001</v>
      </c>
      <c r="J51" s="61">
        <f>HLOOKUP($F$5,G$32:I$53,20,0)</f>
        <v>0.10080000000000001</v>
      </c>
      <c r="K51" s="65">
        <f t="shared" si="14"/>
        <v>3897.5328000000004</v>
      </c>
      <c r="L51" s="62">
        <f t="shared" si="15"/>
        <v>779506.56</v>
      </c>
      <c r="M51" s="2"/>
      <c r="N51" s="2"/>
      <c r="O51" s="2"/>
    </row>
    <row r="52" spans="2:15" ht="18" customHeight="1" x14ac:dyDescent="0.2">
      <c r="B52" s="9"/>
      <c r="C52" s="10" t="s">
        <v>52</v>
      </c>
      <c r="D52" s="6"/>
      <c r="E52" s="8"/>
      <c r="F52" s="4"/>
      <c r="G52" s="76">
        <f>$J40*G44</f>
        <v>0.61920000000000008</v>
      </c>
      <c r="H52" s="76">
        <f>$J40*H44</f>
        <v>0.34400000000000003</v>
      </c>
      <c r="I52" s="76">
        <f>$J40*I44</f>
        <v>6.8799999999999986E-2</v>
      </c>
      <c r="J52" s="61">
        <f>HLOOKUP($F$5,G$32:I$53,21,0)</f>
        <v>6.8799999999999986E-2</v>
      </c>
      <c r="K52" s="65">
        <f t="shared" si="14"/>
        <v>2660.2207999999996</v>
      </c>
      <c r="L52" s="62">
        <f t="shared" si="15"/>
        <v>532044.15999999992</v>
      </c>
      <c r="M52" s="2"/>
      <c r="N52" s="2"/>
      <c r="O52" s="2"/>
    </row>
    <row r="53" spans="2:15" ht="18" customHeight="1" thickBot="1" x14ac:dyDescent="0.25">
      <c r="B53" s="9"/>
      <c r="C53" s="10" t="s">
        <v>54</v>
      </c>
      <c r="D53" s="6"/>
      <c r="E53" s="8"/>
      <c r="F53" s="4"/>
      <c r="G53" s="76">
        <f>$J40*G43</f>
        <v>6.8800000000000014E-2</v>
      </c>
      <c r="H53" s="76">
        <f>$J40*H43</f>
        <v>0.34400000000000003</v>
      </c>
      <c r="I53" s="76">
        <f>$J40*I43</f>
        <v>0.61920000000000008</v>
      </c>
      <c r="J53" s="61">
        <f>HLOOKUP($F$5,G$32:I$53,22,0)</f>
        <v>0.61920000000000008</v>
      </c>
      <c r="K53" s="66">
        <f t="shared" si="14"/>
        <v>23941.987200000003</v>
      </c>
      <c r="L53" s="62">
        <f t="shared" si="15"/>
        <v>4788397.4400000004</v>
      </c>
      <c r="M53" s="2"/>
      <c r="N53" s="2"/>
      <c r="O53" s="2"/>
    </row>
    <row r="54" spans="2:15" ht="18" customHeight="1" thickBot="1" x14ac:dyDescent="0.25">
      <c r="B54" s="7" t="s">
        <v>0</v>
      </c>
      <c r="C54" s="6"/>
      <c r="D54" s="6"/>
      <c r="E54" s="5"/>
      <c r="F54" s="4"/>
      <c r="G54" s="4"/>
      <c r="H54" s="4"/>
      <c r="I54" s="4"/>
      <c r="J54" s="67"/>
      <c r="K54" s="101">
        <v>38666</v>
      </c>
      <c r="L54" s="62">
        <f>SUM(L33:L53)</f>
        <v>6341224</v>
      </c>
      <c r="M54" s="2">
        <f>SUM(M33:M53)</f>
        <v>53591076.000000007</v>
      </c>
      <c r="N54" s="2">
        <f>SUM(N33:N53)</f>
        <v>7733200</v>
      </c>
      <c r="O54" s="1">
        <f>SUM(L54:N54)</f>
        <v>67665500</v>
      </c>
    </row>
    <row r="57" spans="2:15" x14ac:dyDescent="0.2">
      <c r="O57" s="34">
        <f>O54+O28</f>
        <v>73634579.200000003</v>
      </c>
    </row>
    <row r="58" spans="2:15" x14ac:dyDescent="0.2">
      <c r="K58">
        <f>K54+K28</f>
        <v>39643</v>
      </c>
    </row>
    <row r="59" spans="2:15" x14ac:dyDescent="0.2">
      <c r="B59" s="21"/>
      <c r="C59" s="21"/>
      <c r="D59" s="21"/>
      <c r="E59" s="21"/>
      <c r="F59" s="21"/>
      <c r="G59" s="21"/>
      <c r="H59" s="21"/>
      <c r="I59" s="21"/>
      <c r="J59" s="109" t="s">
        <v>15</v>
      </c>
      <c r="K59" s="109"/>
      <c r="L59" s="109" t="s">
        <v>14</v>
      </c>
      <c r="M59" s="109"/>
      <c r="N59" s="109"/>
      <c r="O59" s="21"/>
    </row>
    <row r="60" spans="2:15" ht="51" x14ac:dyDescent="0.2">
      <c r="B60" s="110" t="s">
        <v>13</v>
      </c>
      <c r="C60" s="111"/>
      <c r="D60" s="111"/>
      <c r="E60" s="112"/>
      <c r="F60" s="20" t="s">
        <v>12</v>
      </c>
      <c r="G60" s="20"/>
      <c r="H60" s="20"/>
      <c r="I60" s="20"/>
      <c r="J60" s="19" t="s">
        <v>11</v>
      </c>
      <c r="K60" s="19" t="s">
        <v>10</v>
      </c>
      <c r="L60" s="19" t="s">
        <v>9</v>
      </c>
      <c r="M60" s="19" t="s">
        <v>8</v>
      </c>
      <c r="N60" s="19" t="s">
        <v>7</v>
      </c>
      <c r="O60" s="18" t="s">
        <v>56</v>
      </c>
    </row>
    <row r="61" spans="2:15" ht="13.5" thickBot="1" x14ac:dyDescent="0.25">
      <c r="B61" s="17" t="s">
        <v>5</v>
      </c>
      <c r="C61" s="16"/>
      <c r="D61" s="16"/>
      <c r="E61" s="15"/>
      <c r="F61" s="14" t="s">
        <v>4</v>
      </c>
      <c r="G61" s="32" t="s">
        <v>19</v>
      </c>
      <c r="H61" s="32" t="s">
        <v>20</v>
      </c>
      <c r="I61" s="32" t="s">
        <v>21</v>
      </c>
      <c r="J61" s="3"/>
      <c r="K61" s="63"/>
      <c r="L61" s="51">
        <v>200</v>
      </c>
      <c r="M61" s="51">
        <v>7700</v>
      </c>
      <c r="N61" s="51">
        <v>200</v>
      </c>
      <c r="O61" s="13"/>
    </row>
    <row r="62" spans="2:15" ht="22.5" x14ac:dyDescent="0.2">
      <c r="B62" s="7" t="s">
        <v>2</v>
      </c>
      <c r="C62" s="6"/>
      <c r="D62" s="6"/>
      <c r="E62" s="5"/>
      <c r="F62" s="24" t="s">
        <v>17</v>
      </c>
      <c r="G62" s="28">
        <v>0.33</v>
      </c>
      <c r="H62" s="11">
        <v>0.5</v>
      </c>
      <c r="I62" s="28">
        <v>0.7</v>
      </c>
      <c r="J62" s="61">
        <f>HLOOKUP($F$5,G$61:I$81,2,0)</f>
        <v>0.7</v>
      </c>
      <c r="K62" s="64">
        <f>J62*K$82</f>
        <v>473.9</v>
      </c>
      <c r="L62" s="62"/>
      <c r="M62" s="2"/>
      <c r="N62" s="2">
        <f>K62*N61</f>
        <v>94780</v>
      </c>
      <c r="O62" s="2"/>
    </row>
    <row r="63" spans="2:15" ht="23.25" thickBot="1" x14ac:dyDescent="0.25">
      <c r="B63" s="7" t="s">
        <v>3</v>
      </c>
      <c r="C63" s="6"/>
      <c r="D63" s="6"/>
      <c r="E63" s="5"/>
      <c r="F63" s="24" t="s">
        <v>18</v>
      </c>
      <c r="G63" s="29"/>
      <c r="H63" s="29"/>
      <c r="I63" s="29"/>
      <c r="J63" s="61">
        <f>1-J62</f>
        <v>0.30000000000000004</v>
      </c>
      <c r="K63" s="66">
        <f>J63*K$82</f>
        <v>203.10000000000002</v>
      </c>
      <c r="L63" s="62"/>
      <c r="M63" s="2"/>
      <c r="N63" s="2">
        <f>K63*N61</f>
        <v>40620.000000000007</v>
      </c>
      <c r="O63" s="2"/>
    </row>
    <row r="64" spans="2:15" x14ac:dyDescent="0.2">
      <c r="B64" s="7" t="s">
        <v>38</v>
      </c>
      <c r="C64" s="6"/>
      <c r="D64" s="6"/>
      <c r="E64" s="5"/>
      <c r="F64" s="24"/>
      <c r="G64" s="28">
        <v>0.5</v>
      </c>
      <c r="H64" s="11">
        <v>0.75</v>
      </c>
      <c r="I64" s="28">
        <v>0.85</v>
      </c>
      <c r="J64" s="61">
        <f>HLOOKUP($F$5,G$61:I$81,4,0)</f>
        <v>0.85</v>
      </c>
      <c r="K64" s="69">
        <f>J64*K82</f>
        <v>575.44999999999993</v>
      </c>
      <c r="L64" s="62"/>
      <c r="M64" s="2"/>
      <c r="N64" s="2"/>
      <c r="O64" s="2"/>
    </row>
    <row r="65" spans="2:15" ht="13.5" thickBot="1" x14ac:dyDescent="0.25">
      <c r="B65" s="79" t="s">
        <v>39</v>
      </c>
      <c r="C65" s="80"/>
      <c r="D65" s="80"/>
      <c r="E65" s="88"/>
      <c r="F65" s="24"/>
      <c r="G65" s="29"/>
      <c r="H65" s="29"/>
      <c r="I65" s="29"/>
      <c r="J65" s="61">
        <f>1-J64</f>
        <v>0.15000000000000002</v>
      </c>
      <c r="K65" s="100">
        <f>K82*J65</f>
        <v>101.55000000000001</v>
      </c>
      <c r="L65" s="62"/>
      <c r="M65" s="2"/>
      <c r="N65" s="2"/>
      <c r="O65" s="2"/>
    </row>
    <row r="66" spans="2:15" x14ac:dyDescent="0.2">
      <c r="B66" s="84"/>
      <c r="C66" s="85"/>
      <c r="D66" s="85"/>
      <c r="E66" s="92" t="s">
        <v>42</v>
      </c>
      <c r="F66" s="78"/>
      <c r="G66" s="29"/>
      <c r="H66" s="26"/>
      <c r="I66" s="29"/>
      <c r="J66" s="68">
        <f>J64*J62</f>
        <v>0.59499999999999997</v>
      </c>
      <c r="K66" s="64">
        <f t="shared" ref="K66:K81" si="16">J66*K$82</f>
        <v>402.815</v>
      </c>
      <c r="L66" s="62"/>
      <c r="M66" s="2"/>
      <c r="N66" s="2"/>
      <c r="O66" s="2"/>
    </row>
    <row r="67" spans="2:15" x14ac:dyDescent="0.2">
      <c r="B67" s="93"/>
      <c r="C67" s="6"/>
      <c r="D67" s="6"/>
      <c r="E67" s="94" t="s">
        <v>43</v>
      </c>
      <c r="F67" s="78"/>
      <c r="G67" s="29"/>
      <c r="H67" s="26"/>
      <c r="I67" s="29"/>
      <c r="J67" s="68">
        <f>J64*J63</f>
        <v>0.255</v>
      </c>
      <c r="K67" s="65">
        <f t="shared" si="16"/>
        <v>172.63499999999999</v>
      </c>
      <c r="L67" s="62"/>
      <c r="M67" s="2"/>
      <c r="N67" s="2"/>
      <c r="O67" s="2"/>
    </row>
    <row r="68" spans="2:15" x14ac:dyDescent="0.2">
      <c r="B68" s="93"/>
      <c r="C68" s="6"/>
      <c r="D68" s="6"/>
      <c r="E68" s="94" t="s">
        <v>44</v>
      </c>
      <c r="F68" s="78"/>
      <c r="G68" s="29"/>
      <c r="H68" s="26"/>
      <c r="I68" s="29"/>
      <c r="J68" s="68">
        <f>J65*J62</f>
        <v>0.10500000000000001</v>
      </c>
      <c r="K68" s="65">
        <f t="shared" si="16"/>
        <v>71.085000000000008</v>
      </c>
      <c r="L68" s="62"/>
      <c r="M68" s="2"/>
      <c r="N68" s="2"/>
      <c r="O68" s="2"/>
    </row>
    <row r="69" spans="2:15" ht="13.5" thickBot="1" x14ac:dyDescent="0.25">
      <c r="B69" s="86"/>
      <c r="C69" s="87"/>
      <c r="D69" s="87"/>
      <c r="E69" s="95" t="s">
        <v>43</v>
      </c>
      <c r="F69" s="78"/>
      <c r="G69" s="29"/>
      <c r="H69" s="26"/>
      <c r="I69" s="29"/>
      <c r="J69" s="68">
        <f>J65*J63</f>
        <v>4.5000000000000012E-2</v>
      </c>
      <c r="K69" s="66">
        <f t="shared" si="16"/>
        <v>30.465000000000007</v>
      </c>
      <c r="L69" s="62"/>
      <c r="M69" s="2"/>
      <c r="N69" s="2"/>
      <c r="O69" s="2"/>
    </row>
    <row r="70" spans="2:15" x14ac:dyDescent="0.2">
      <c r="B70" s="89" t="s">
        <v>34</v>
      </c>
      <c r="C70" s="90"/>
      <c r="D70" s="91"/>
      <c r="E70" s="90"/>
      <c r="F70" s="78" t="s">
        <v>22</v>
      </c>
      <c r="G70" s="31">
        <v>0.95</v>
      </c>
      <c r="H70" s="52">
        <v>0.5</v>
      </c>
      <c r="I70" s="31">
        <v>0.1</v>
      </c>
      <c r="J70" s="61">
        <f>HLOOKUP($F$5,G$61:I$81,10,0)*J62</f>
        <v>6.9999999999999993E-2</v>
      </c>
      <c r="K70" s="102">
        <f t="shared" si="16"/>
        <v>47.389999999999993</v>
      </c>
      <c r="L70" s="62"/>
      <c r="M70" s="2"/>
      <c r="N70" s="2"/>
      <c r="O70" s="2"/>
    </row>
    <row r="71" spans="2:15" ht="22.5" x14ac:dyDescent="0.2">
      <c r="B71" s="17" t="s">
        <v>1</v>
      </c>
      <c r="C71" s="13"/>
      <c r="D71" s="41"/>
      <c r="E71" s="13"/>
      <c r="F71" s="78" t="s">
        <v>23</v>
      </c>
      <c r="G71" s="29"/>
      <c r="H71" s="29"/>
      <c r="I71" s="29"/>
      <c r="J71" s="73">
        <f>(1-HLOOKUP($F$5,G$61:I$81,10,0))*J62</f>
        <v>0.63</v>
      </c>
      <c r="K71" s="71">
        <f t="shared" si="16"/>
        <v>426.51</v>
      </c>
      <c r="L71" s="62"/>
      <c r="M71" s="2"/>
      <c r="N71" s="2"/>
      <c r="O71" s="2"/>
    </row>
    <row r="72" spans="2:15" ht="22.5" x14ac:dyDescent="0.2">
      <c r="B72" s="81" t="s">
        <v>36</v>
      </c>
      <c r="C72" s="82"/>
      <c r="D72" s="82"/>
      <c r="E72" s="83"/>
      <c r="F72" s="4" t="s">
        <v>37</v>
      </c>
      <c r="G72" s="28">
        <v>0.1</v>
      </c>
      <c r="H72" s="11">
        <v>0.5</v>
      </c>
      <c r="I72" s="31">
        <v>0.9</v>
      </c>
      <c r="J72" s="73">
        <f>HLOOKUP($F$5,G$61:I$81,12,0)*J63</f>
        <v>0.27000000000000007</v>
      </c>
      <c r="K72" s="71">
        <f t="shared" si="16"/>
        <v>182.79000000000005</v>
      </c>
      <c r="L72" s="62"/>
      <c r="M72" s="2"/>
      <c r="N72" s="2"/>
      <c r="O72" s="2"/>
    </row>
    <row r="73" spans="2:15" ht="23.25" thickBot="1" x14ac:dyDescent="0.25">
      <c r="B73" s="9" t="s">
        <v>36</v>
      </c>
      <c r="C73" s="57"/>
      <c r="D73" s="57"/>
      <c r="E73" s="58"/>
      <c r="F73" s="4" t="s">
        <v>41</v>
      </c>
      <c r="G73" s="56">
        <f>1-G72</f>
        <v>0.9</v>
      </c>
      <c r="H73" s="56">
        <f t="shared" ref="H73:I73" si="17">1-H72</f>
        <v>0.5</v>
      </c>
      <c r="I73" s="56">
        <f t="shared" si="17"/>
        <v>9.9999999999999978E-2</v>
      </c>
      <c r="J73" s="61">
        <f>HLOOKUP($F$5,G$61:I$81,13,0)*J63</f>
        <v>0.03</v>
      </c>
      <c r="K73" s="100">
        <f t="shared" si="16"/>
        <v>20.309999999999999</v>
      </c>
      <c r="L73" s="99"/>
      <c r="M73" s="2"/>
      <c r="N73" s="2"/>
      <c r="O73" s="2"/>
    </row>
    <row r="74" spans="2:15" x14ac:dyDescent="0.2">
      <c r="B74" s="9"/>
      <c r="C74" s="113" t="s">
        <v>48</v>
      </c>
      <c r="D74" s="113"/>
      <c r="E74" s="114"/>
      <c r="F74" s="4"/>
      <c r="G74" s="76">
        <f>$J66*G70</f>
        <v>0.56524999999999992</v>
      </c>
      <c r="H74" s="76">
        <f t="shared" ref="H74:I74" si="18">$J66*H70</f>
        <v>0.29749999999999999</v>
      </c>
      <c r="I74" s="76">
        <f t="shared" si="18"/>
        <v>5.9499999999999997E-2</v>
      </c>
      <c r="J74" s="61">
        <f>HLOOKUP($F$5,G$61:I$81,14,0)</f>
        <v>5.9499999999999997E-2</v>
      </c>
      <c r="K74" s="64">
        <f t="shared" si="16"/>
        <v>40.281500000000001</v>
      </c>
      <c r="L74" s="62">
        <f>K74*L$32</f>
        <v>8056.3</v>
      </c>
      <c r="M74" s="2"/>
      <c r="N74" s="2"/>
      <c r="O74" s="2"/>
    </row>
    <row r="75" spans="2:15" x14ac:dyDescent="0.2">
      <c r="B75" s="9"/>
      <c r="C75" s="10" t="s">
        <v>47</v>
      </c>
      <c r="D75" s="10"/>
      <c r="E75" s="5"/>
      <c r="F75" s="4"/>
      <c r="G75" s="77">
        <f>$J66-G74</f>
        <v>2.9750000000000054E-2</v>
      </c>
      <c r="H75" s="77">
        <f t="shared" ref="H75" si="19">$J66-H74</f>
        <v>0.29749999999999999</v>
      </c>
      <c r="I75" s="77">
        <f t="shared" ref="I75" si="20">$J66-I74</f>
        <v>0.53549999999999998</v>
      </c>
      <c r="J75" s="61">
        <f>HLOOKUP($F$5,G$61:I$81,15,0)</f>
        <v>0.53549999999999998</v>
      </c>
      <c r="K75" s="65">
        <f t="shared" si="16"/>
        <v>362.5335</v>
      </c>
      <c r="L75" s="62"/>
      <c r="M75" s="2">
        <f>K75*M$32</f>
        <v>2791507.95</v>
      </c>
      <c r="N75" s="2"/>
      <c r="O75" s="2"/>
    </row>
    <row r="76" spans="2:15" x14ac:dyDescent="0.2">
      <c r="B76" s="9"/>
      <c r="C76" s="10" t="s">
        <v>49</v>
      </c>
      <c r="D76" s="6"/>
      <c r="E76" s="8"/>
      <c r="F76" s="4"/>
      <c r="G76" s="76">
        <f>$J67*G73</f>
        <v>0.22950000000000001</v>
      </c>
      <c r="H76" s="76">
        <f t="shared" ref="H76:I76" si="21">$J67*H73</f>
        <v>0.1275</v>
      </c>
      <c r="I76" s="76">
        <f t="shared" si="21"/>
        <v>2.5499999999999995E-2</v>
      </c>
      <c r="J76" s="61">
        <f>HLOOKUP($F$5,G$61:I$81,16,0)</f>
        <v>2.5499999999999995E-2</v>
      </c>
      <c r="K76" s="65">
        <f t="shared" si="16"/>
        <v>17.263499999999997</v>
      </c>
      <c r="L76" s="62">
        <f t="shared" ref="L76:L81" si="22">K76*L$32</f>
        <v>3452.6999999999994</v>
      </c>
      <c r="M76" s="2"/>
      <c r="N76" s="2"/>
      <c r="O76" s="2"/>
    </row>
    <row r="77" spans="2:15" x14ac:dyDescent="0.2">
      <c r="B77" s="9"/>
      <c r="C77" s="10" t="s">
        <v>53</v>
      </c>
      <c r="D77" s="6"/>
      <c r="E77" s="8"/>
      <c r="F77" s="4"/>
      <c r="G77" s="76">
        <f>$J67*G72</f>
        <v>2.5500000000000002E-2</v>
      </c>
      <c r="H77" s="76">
        <f t="shared" ref="H77:I77" si="23">$J67*H72</f>
        <v>0.1275</v>
      </c>
      <c r="I77" s="76">
        <f t="shared" si="23"/>
        <v>0.22950000000000001</v>
      </c>
      <c r="J77" s="61">
        <f>HLOOKUP($F$5,G$61:I$81,17,0)</f>
        <v>0.22950000000000001</v>
      </c>
      <c r="K77" s="65">
        <f t="shared" si="16"/>
        <v>155.3715</v>
      </c>
      <c r="L77" s="62"/>
      <c r="M77" s="2">
        <f>K77*M$32</f>
        <v>1196360.55</v>
      </c>
      <c r="N77" s="2"/>
      <c r="O77" s="2"/>
    </row>
    <row r="78" spans="2:15" x14ac:dyDescent="0.2">
      <c r="B78" s="9"/>
      <c r="C78" s="10" t="s">
        <v>50</v>
      </c>
      <c r="D78" s="6"/>
      <c r="E78" s="8"/>
      <c r="F78" s="4"/>
      <c r="G78" s="76">
        <f>$J68*G70</f>
        <v>9.9750000000000005E-2</v>
      </c>
      <c r="H78" s="76">
        <f t="shared" ref="H78:I78" si="24">$J68*H70</f>
        <v>5.2500000000000005E-2</v>
      </c>
      <c r="I78" s="76">
        <f t="shared" si="24"/>
        <v>1.0500000000000002E-2</v>
      </c>
      <c r="J78" s="61">
        <f>HLOOKUP($F$5,G$61:I$81,18,0)</f>
        <v>1.0500000000000002E-2</v>
      </c>
      <c r="K78" s="65">
        <f t="shared" si="16"/>
        <v>7.108500000000002</v>
      </c>
      <c r="L78" s="62">
        <f t="shared" si="22"/>
        <v>1421.7000000000005</v>
      </c>
      <c r="M78" s="2"/>
      <c r="N78" s="2"/>
      <c r="O78" s="2"/>
    </row>
    <row r="79" spans="2:15" x14ac:dyDescent="0.2">
      <c r="B79" s="9"/>
      <c r="C79" s="10" t="s">
        <v>51</v>
      </c>
      <c r="D79" s="6"/>
      <c r="E79" s="8"/>
      <c r="F79" s="4"/>
      <c r="G79" s="76">
        <f>$J68*(1-G70)</f>
        <v>5.2500000000000055E-3</v>
      </c>
      <c r="H79" s="76">
        <f t="shared" ref="H79:I79" si="25">$J68*(1-H70)</f>
        <v>5.2500000000000005E-2</v>
      </c>
      <c r="I79" s="76">
        <f t="shared" si="25"/>
        <v>9.4500000000000015E-2</v>
      </c>
      <c r="J79" s="61">
        <f>HLOOKUP($F$5,G$61:I$81,19,0)</f>
        <v>9.4500000000000015E-2</v>
      </c>
      <c r="K79" s="65">
        <f t="shared" si="16"/>
        <v>63.976500000000009</v>
      </c>
      <c r="L79" s="62">
        <f t="shared" si="22"/>
        <v>12795.300000000001</v>
      </c>
      <c r="M79" s="2"/>
      <c r="N79" s="2"/>
      <c r="O79" s="2"/>
    </row>
    <row r="80" spans="2:15" x14ac:dyDescent="0.2">
      <c r="B80" s="9"/>
      <c r="C80" s="10" t="s">
        <v>52</v>
      </c>
      <c r="D80" s="6"/>
      <c r="E80" s="8"/>
      <c r="F80" s="4"/>
      <c r="G80" s="76">
        <f>$J69*G73</f>
        <v>4.0500000000000015E-2</v>
      </c>
      <c r="H80" s="76">
        <f t="shared" ref="H80:I80" si="26">$J69*H73</f>
        <v>2.2500000000000006E-2</v>
      </c>
      <c r="I80" s="76">
        <f t="shared" si="26"/>
        <v>4.5000000000000005E-3</v>
      </c>
      <c r="J80" s="61">
        <f>HLOOKUP($F$5,G$61:I$81,20,0)</f>
        <v>4.5000000000000005E-3</v>
      </c>
      <c r="K80" s="65">
        <f t="shared" si="16"/>
        <v>3.0465000000000004</v>
      </c>
      <c r="L80" s="62">
        <f t="shared" si="22"/>
        <v>609.30000000000007</v>
      </c>
      <c r="M80" s="2"/>
      <c r="N80" s="2"/>
      <c r="O80" s="2"/>
    </row>
    <row r="81" spans="2:15" ht="13.5" thickBot="1" x14ac:dyDescent="0.25">
      <c r="B81" s="9"/>
      <c r="C81" s="10" t="s">
        <v>54</v>
      </c>
      <c r="D81" s="6"/>
      <c r="E81" s="8"/>
      <c r="F81" s="4"/>
      <c r="G81" s="76">
        <f>$J69*G72</f>
        <v>4.5000000000000014E-3</v>
      </c>
      <c r="H81" s="76">
        <f t="shared" ref="H81:I81" si="27">$J69*H72</f>
        <v>2.2500000000000006E-2</v>
      </c>
      <c r="I81" s="76">
        <f t="shared" si="27"/>
        <v>4.0500000000000015E-2</v>
      </c>
      <c r="J81" s="61">
        <f>HLOOKUP($F$5,G$61:I$81,21,0)</f>
        <v>4.0500000000000015E-2</v>
      </c>
      <c r="K81" s="66">
        <f t="shared" si="16"/>
        <v>27.418500000000009</v>
      </c>
      <c r="L81" s="62">
        <f t="shared" si="22"/>
        <v>5483.7000000000016</v>
      </c>
      <c r="M81" s="2"/>
      <c r="N81" s="2"/>
      <c r="O81" s="2"/>
    </row>
    <row r="82" spans="2:15" ht="13.5" thickBot="1" x14ac:dyDescent="0.25">
      <c r="B82" s="7" t="s">
        <v>0</v>
      </c>
      <c r="C82" s="6"/>
      <c r="D82" s="6"/>
      <c r="E82" s="5"/>
      <c r="F82" s="4"/>
      <c r="G82" s="4"/>
      <c r="H82" s="4"/>
      <c r="I82" s="4"/>
      <c r="J82" s="67"/>
      <c r="K82" s="101">
        <v>677</v>
      </c>
      <c r="L82" s="62">
        <f>SUM(L62:L81)</f>
        <v>31819</v>
      </c>
      <c r="M82" s="2">
        <f>SUM(M62:M81)</f>
        <v>3987868.5</v>
      </c>
      <c r="N82" s="2">
        <f>SUM(N62:N81)</f>
        <v>135400</v>
      </c>
      <c r="O82" s="1">
        <f>SUM(L82:N82)</f>
        <v>4155087.5</v>
      </c>
    </row>
  </sheetData>
  <mergeCells count="13">
    <mergeCell ref="J59:K59"/>
    <mergeCell ref="L59:N59"/>
    <mergeCell ref="B60:E60"/>
    <mergeCell ref="C74:E74"/>
    <mergeCell ref="B31:E31"/>
    <mergeCell ref="C46:E46"/>
    <mergeCell ref="L3:N3"/>
    <mergeCell ref="J3:K3"/>
    <mergeCell ref="B4:E4"/>
    <mergeCell ref="C20:E20"/>
    <mergeCell ref="J30:K30"/>
    <mergeCell ref="L30:N30"/>
    <mergeCell ref="B5:E5"/>
  </mergeCells>
  <pageMargins left="0.7" right="0.7" top="0.75" bottom="0.75" header="0.3" footer="0.3"/>
  <pageSetup paperSize="9" orientation="landscape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14"/>
  <sheetViews>
    <sheetView workbookViewId="0">
      <selection activeCell="D7" sqref="D7"/>
    </sheetView>
  </sheetViews>
  <sheetFormatPr defaultRowHeight="12.75" x14ac:dyDescent="0.2"/>
  <cols>
    <col min="2" max="2" width="13.42578125" customWidth="1"/>
    <col min="6" max="6" width="2" customWidth="1"/>
    <col min="9" max="9" width="2.7109375" customWidth="1"/>
  </cols>
  <sheetData>
    <row r="3" spans="2:11" x14ac:dyDescent="0.2">
      <c r="D3" t="s">
        <v>25</v>
      </c>
      <c r="G3" t="s">
        <v>31</v>
      </c>
      <c r="J3" t="s">
        <v>30</v>
      </c>
    </row>
    <row r="5" spans="2:11" x14ac:dyDescent="0.2">
      <c r="C5" s="41"/>
      <c r="D5" s="47" t="s">
        <v>26</v>
      </c>
      <c r="E5" s="47" t="s">
        <v>27</v>
      </c>
      <c r="F5" s="48"/>
      <c r="G5" s="47" t="s">
        <v>26</v>
      </c>
      <c r="H5" s="47" t="s">
        <v>27</v>
      </c>
      <c r="I5" s="48"/>
      <c r="J5" s="47" t="s">
        <v>26</v>
      </c>
      <c r="K5" s="47" t="s">
        <v>27</v>
      </c>
    </row>
    <row r="6" spans="2:11" ht="25.5" customHeight="1" x14ac:dyDescent="0.2">
      <c r="B6" t="s">
        <v>32</v>
      </c>
      <c r="C6" s="41" t="s">
        <v>28</v>
      </c>
      <c r="D6" s="42">
        <f>10%*B7</f>
        <v>97.7</v>
      </c>
      <c r="E6" s="117">
        <f>67%*B7</f>
        <v>654.59</v>
      </c>
      <c r="F6" s="46"/>
      <c r="G6" s="42">
        <f>37%*B7</f>
        <v>361.49</v>
      </c>
      <c r="H6" s="117">
        <f>50%*B7</f>
        <v>488.5</v>
      </c>
      <c r="I6" s="46"/>
      <c r="J6" s="42">
        <f>65%*B7</f>
        <v>635.05000000000007</v>
      </c>
      <c r="K6" s="117">
        <f>30%*B7</f>
        <v>293.09999999999997</v>
      </c>
    </row>
    <row r="7" spans="2:11" ht="24.75" customHeight="1" x14ac:dyDescent="0.2">
      <c r="B7">
        <f>'Cost RoCoF and VS'!K28</f>
        <v>977</v>
      </c>
      <c r="C7" s="41" t="s">
        <v>29</v>
      </c>
      <c r="D7" s="42">
        <f>23%*B7</f>
        <v>224.71</v>
      </c>
      <c r="E7" s="117"/>
      <c r="F7" s="45"/>
      <c r="G7" s="42">
        <f>13%*B7</f>
        <v>127.01</v>
      </c>
      <c r="H7" s="117"/>
      <c r="I7" s="45"/>
      <c r="J7" s="42">
        <f>5%*B7</f>
        <v>48.85</v>
      </c>
      <c r="K7" s="117"/>
    </row>
    <row r="8" spans="2:11" x14ac:dyDescent="0.2">
      <c r="D8" s="40"/>
      <c r="E8" s="40"/>
      <c r="F8" s="40"/>
      <c r="G8" s="40"/>
      <c r="H8" s="40"/>
      <c r="I8" s="40"/>
      <c r="J8" s="40"/>
      <c r="K8" s="40"/>
    </row>
    <row r="9" spans="2:11" x14ac:dyDescent="0.2">
      <c r="D9" s="40"/>
      <c r="E9" s="40"/>
      <c r="F9" s="40"/>
      <c r="G9" s="40"/>
      <c r="H9" s="40"/>
      <c r="I9" s="40"/>
      <c r="J9" s="40"/>
      <c r="K9" s="40"/>
    </row>
    <row r="10" spans="2:11" x14ac:dyDescent="0.2">
      <c r="D10" t="s">
        <v>25</v>
      </c>
      <c r="E10" s="40"/>
      <c r="F10" s="40"/>
      <c r="G10" s="40" t="s">
        <v>31</v>
      </c>
      <c r="H10" s="40"/>
      <c r="I10" s="40"/>
      <c r="J10" s="40" t="s">
        <v>30</v>
      </c>
      <c r="K10" s="40"/>
    </row>
    <row r="11" spans="2:11" x14ac:dyDescent="0.2">
      <c r="D11" s="40"/>
      <c r="E11" s="40"/>
      <c r="F11" s="40"/>
      <c r="G11" s="40"/>
      <c r="H11" s="40"/>
      <c r="I11" s="40"/>
      <c r="J11" s="40"/>
      <c r="K11" s="40"/>
    </row>
    <row r="12" spans="2:11" x14ac:dyDescent="0.2">
      <c r="C12" s="41"/>
      <c r="D12" s="43" t="s">
        <v>26</v>
      </c>
      <c r="E12" s="43" t="s">
        <v>27</v>
      </c>
      <c r="F12" s="44"/>
      <c r="G12" s="43" t="s">
        <v>26</v>
      </c>
      <c r="H12" s="43" t="s">
        <v>27</v>
      </c>
      <c r="I12" s="44"/>
      <c r="J12" s="43" t="s">
        <v>26</v>
      </c>
      <c r="K12" s="43" t="s">
        <v>27</v>
      </c>
    </row>
    <row r="13" spans="2:11" ht="25.5" customHeight="1" x14ac:dyDescent="0.2">
      <c r="B13" t="s">
        <v>33</v>
      </c>
      <c r="C13" s="41" t="s">
        <v>28</v>
      </c>
      <c r="D13" s="42">
        <f>0.5%*B14</f>
        <v>193.33</v>
      </c>
      <c r="E13" s="118">
        <f>0.95*B14</f>
        <v>36732.699999999997</v>
      </c>
      <c r="F13" s="46"/>
      <c r="G13" s="42">
        <f>1.25%*B14</f>
        <v>483.32500000000005</v>
      </c>
      <c r="H13" s="118">
        <f>88%*B14</f>
        <v>34026.080000000002</v>
      </c>
      <c r="I13" s="46"/>
      <c r="J13" s="42">
        <f>2.75%*Sheet1!B14</f>
        <v>1063.3150000000001</v>
      </c>
      <c r="K13" s="118">
        <f>86%*B14</f>
        <v>33252.76</v>
      </c>
    </row>
    <row r="14" spans="2:11" ht="27.75" customHeight="1" x14ac:dyDescent="0.2">
      <c r="B14">
        <f>'Cost RoCoF and VS'!K54</f>
        <v>38666</v>
      </c>
      <c r="C14" s="41" t="s">
        <v>29</v>
      </c>
      <c r="D14" s="42">
        <f>4.5%*Sheet1!B14</f>
        <v>1739.97</v>
      </c>
      <c r="E14" s="119"/>
      <c r="F14" s="45"/>
      <c r="G14" s="42">
        <f>10.75%*B14</f>
        <v>4156.5950000000003</v>
      </c>
      <c r="H14" s="119"/>
      <c r="I14" s="45"/>
      <c r="J14" s="42">
        <f>11.25%*Sheet1!B14</f>
        <v>4349.9250000000002</v>
      </c>
      <c r="K14" s="119"/>
    </row>
  </sheetData>
  <mergeCells count="6">
    <mergeCell ref="E6:E7"/>
    <mergeCell ref="H6:H7"/>
    <mergeCell ref="K6:K7"/>
    <mergeCell ref="E13:E14"/>
    <mergeCell ref="H13:H14"/>
    <mergeCell ref="K13:K1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 RoCoF and VS</vt:lpstr>
      <vt:lpstr>Sheet1</vt:lpstr>
    </vt:vector>
  </TitlesOfParts>
  <Company>National 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Mike Kay</cp:lastModifiedBy>
  <dcterms:created xsi:type="dcterms:W3CDTF">2016-07-06T16:23:22Z</dcterms:created>
  <dcterms:modified xsi:type="dcterms:W3CDTF">2017-09-18T17:52:45Z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1104250802</vt:i4>
  </property>
  <property fmtid="{D5CDD505-2E9C-101B-9397-08002B2CF9AE}" pid="4" name="_EmailSubject">
    <vt:lpwstr>GC0079  26 September 20017</vt:lpwstr>
  </property>
  <property fmtid="{D5CDD505-2E9C-101B-9397-08002B2CF9AE}" pid="5" name="_AuthorEmail">
    <vt:lpwstr>Peter.Simango@nationalgrid.com</vt:lpwstr>
  </property>
  <property fmtid="{D5CDD505-2E9C-101B-9397-08002B2CF9AE}" pid="6" name="_AuthorEmailDisplayName">
    <vt:lpwstr>Simango, Peter</vt:lpwstr>
  </property>
</Properties>
</file>