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codeName="ThisWorkbook" hidePivotFieldList="1"/>
  <xr:revisionPtr revIDLastSave="0" documentId="8_{9EE86036-17B6-453C-9E45-888A6A407784}" xr6:coauthVersionLast="41" xr6:coauthVersionMax="41" xr10:uidLastSave="{00000000-0000-0000-0000-000000000000}"/>
  <bookViews>
    <workbookView xWindow="57480" yWindow="-120" windowWidth="29040" windowHeight="15840" tabRatio="814" xr2:uid="{5E0E462D-C273-4747-943A-6363E277DD69}"/>
  </bookViews>
  <sheets>
    <sheet name="Cover" sheetId="70" r:id="rId1"/>
    <sheet name="DispatchVols" sheetId="8" r:id="rId2"/>
    <sheet name="Network" sheetId="9" r:id="rId3"/>
    <sheet name="IC CAPEX" sheetId="60" r:id="rId4"/>
    <sheet name="XR&amp;Inflation" sheetId="23" r:id="rId5"/>
    <sheet name="2024Capacities" sheetId="65" r:id="rId6"/>
    <sheet name="DeployedCapacities" sheetId="4" r:id="rId7"/>
    <sheet name="StorageAssumptions" sheetId="32" r:id="rId8"/>
    <sheet name="TechAssumptions" sheetId="7" r:id="rId9"/>
    <sheet name="CO2&amp;H2" sheetId="19" r:id="rId10"/>
    <sheet name="PlexosVOMs" sheetId="22" r:id="rId11"/>
    <sheet name="ConstraintInputs" sheetId="21" r:id="rId12"/>
    <sheet name="ImportExport" sheetId="24" r:id="rId13"/>
    <sheet name="SRMC" sheetId="68" r:id="rId14"/>
    <sheet name="Storage capacity" sheetId="29" r:id="rId15"/>
    <sheet name="GenerationSpend" sheetId="5" r:id="rId16"/>
    <sheet name="Offshore network costs" sheetId="51" r:id="rId17"/>
    <sheet name="EmissionsCaptured" sheetId="66" r:id="rId18"/>
    <sheet name="Calcs" sheetId="2" r:id="rId19"/>
    <sheet name="NetworkSpend" sheetId="11" r:id="rId20"/>
    <sheet name="ConstraintCosts" sheetId="26" r:id="rId21"/>
    <sheet name="AnnuitisedCostperUsefulEnergy" sheetId="67" r:id="rId22"/>
    <sheet name="Outputs" sheetId="3" r:id="rId23"/>
    <sheet name="&gt;High_gas_sensitivities&gt;" sheetId="33" r:id="rId24"/>
    <sheet name="DispatchVols_HG" sheetId="34" r:id="rId25"/>
    <sheet name="PlexosVOMs_HG" sheetId="35" r:id="rId26"/>
    <sheet name="EmissionsCaptured_HG" sheetId="69" r:id="rId27"/>
    <sheet name="ConstraintInputs_HG" sheetId="37" r:id="rId28"/>
    <sheet name="ImportExport_HG" sheetId="38" r:id="rId29"/>
    <sheet name="GenerationSpend_HG" sheetId="39" r:id="rId30"/>
    <sheet name="NetworkSpend_HG" sheetId="41" r:id="rId31"/>
    <sheet name="ConstraintCosts_HG" sheetId="40" r:id="rId32"/>
    <sheet name="&gt;Low_gas_sensitivities&gt;" sheetId="42" r:id="rId33"/>
    <sheet name="DispatchVols_LG" sheetId="43" r:id="rId34"/>
    <sheet name="PlexosVOMs_LG" sheetId="44" r:id="rId35"/>
    <sheet name="EmissionsCaptured_LG" sheetId="45" r:id="rId36"/>
    <sheet name="ConstraintInputs_LG" sheetId="46" r:id="rId37"/>
    <sheet name="ImportExport_LG" sheetId="47" r:id="rId38"/>
    <sheet name="GenerationSpend_LG" sheetId="48" r:id="rId39"/>
    <sheet name="NetworkSpend_LG" sheetId="49" r:id="rId40"/>
    <sheet name="ConstraintCosts_LG" sheetId="50" r:id="rId41"/>
  </sheets>
  <externalReferences>
    <externalReference r:id="rId42"/>
    <externalReference r:id="rId43"/>
    <externalReference r:id="rId44"/>
    <externalReference r:id="rId45"/>
    <externalReference r:id="rId46"/>
  </externalReferences>
  <definedNames>
    <definedName name="asdas" localSheetId="5"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26"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BLPH1" hidden="1">'[1]4.6 ten year bonds'!$A$4</definedName>
    <definedName name="BLPH2" hidden="1">'[1]4.6 ten year bonds'!$D$4</definedName>
    <definedName name="BLPH3" hidden="1">'[1]4.6 ten year bonds'!$G$4</definedName>
    <definedName name="BLPH4" hidden="1">'[1]4.6 ten year bonds'!$J$4</definedName>
    <definedName name="BLPH5" hidden="1">'[1]4.6 ten year bonds'!$M$4</definedName>
    <definedName name="Chart2" hidden="1">'[2]T3 Page 1'!#REF!</definedName>
    <definedName name="dddd" hidden="1">'[3]Model inputs'!#REF!</definedName>
    <definedName name="dgsgf" localSheetId="5"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26"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istribution" hidden="1">#REF!</definedName>
    <definedName name="DME_LocalFile" hidden="1">"True"</definedName>
    <definedName name="ExtraProfiles" hidden="1">#REF!</definedName>
    <definedName name="fg" localSheetId="5"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26"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26"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yu" hidden="1">#REF!</definedName>
    <definedName name="ghj" localSheetId="5"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26"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rah01" hidden="1">'[2]T3 Page 1'!#REF!</definedName>
    <definedName name="Graph01" hidden="1">'[2]FC Page 1'!#REF!</definedName>
    <definedName name="Graph12" hidden="1">'[3]Model inputs'!#REF!</definedName>
    <definedName name="graphc" hidden="1">#REF!</definedName>
    <definedName name="jhkgh" localSheetId="5"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26"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26"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LOCAL_MYSQL_DATE_FORMAT" localSheetId="5"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6"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Option2" localSheetId="5"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26"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al_Workbook_GUID" hidden="1">"RS5BRYZVGWY2NZ35D8B2HD7P"</definedName>
    <definedName name="Pop" hidden="1">[4]Population!#REF!</definedName>
    <definedName name="Population" localSheetId="5" hidden="1">#REF!</definedName>
    <definedName name="Population" localSheetId="17" hidden="1">#REF!</definedName>
    <definedName name="Population" localSheetId="26" hidden="1">#REF!</definedName>
    <definedName name="Population" hidden="1">#REF!</definedName>
    <definedName name="Profiles" localSheetId="5" hidden="1">#REF!</definedName>
    <definedName name="Profiles" localSheetId="17" hidden="1">#REF!</definedName>
    <definedName name="Profiles" localSheetId="26" hidden="1">#REF!</definedName>
    <definedName name="Profiles" hidden="1">#REF!</definedName>
    <definedName name="Projections" localSheetId="5" hidden="1">#REF!</definedName>
    <definedName name="Projections" localSheetId="17" hidden="1">#REF!</definedName>
    <definedName name="Projections" localSheetId="26" hidden="1">#REF!</definedName>
    <definedName name="Projections" hidden="1">#REF!</definedName>
    <definedName name="Results" hidden="1">[5]UK99!$A$1:$A$1</definedName>
    <definedName name="RiskAfterRecalcMacro" hidden="1">"Between_Iterations_Macro"</definedName>
    <definedName name="RiskAfterSimMacro" hidden="1">""</definedName>
    <definedName name="RiskBeforeRecalcMacro" hidden="1">""</definedName>
    <definedName name="RiskBeforeSimMacro" hidden="1">"Before_Simulation_Macro"</definedName>
    <definedName name="RiskCollectDistributionSamples" hidden="1">0</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FALSE</definedName>
    <definedName name="RiskNumIterations" hidden="1">500</definedName>
    <definedName name="RiskNumSimulations" hidden="1">1</definedName>
    <definedName name="RiskPauseOnError" hidden="1">FALSE</definedName>
    <definedName name="RiskRunAfterRecalcMacro" hidden="1">TRUE</definedName>
    <definedName name="RiskRunAfterSimMacro" hidden="1">FALSE</definedName>
    <definedName name="RiskRunBeforeRecalcMacro" hidden="1">FALSE</definedName>
    <definedName name="RiskRunBeforeSimMacro" hidden="1">TRUE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TRUE</definedName>
    <definedName name="RiskUseMultipleCPUs" hidden="1">FALSE</definedName>
    <definedName name="sdf" localSheetId="5"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26"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26"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26"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26"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26"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est" localSheetId="5"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est" localSheetId="1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est" localSheetId="26"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es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rggh" localSheetId="5"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26"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wrn.table1." localSheetId="5" hidden="1">{#N/A,#N/A,FALSE,"CGBR95C"}</definedName>
    <definedName name="wrn.table1." localSheetId="17" hidden="1">{#N/A,#N/A,FALSE,"CGBR95C"}</definedName>
    <definedName name="wrn.table1." localSheetId="26" hidden="1">{#N/A,#N/A,FALSE,"CGBR95C"}</definedName>
    <definedName name="wrn.table1." hidden="1">{#N/A,#N/A,FALSE,"CGBR95C"}</definedName>
    <definedName name="wrn.table2." localSheetId="5" hidden="1">{#N/A,#N/A,FALSE,"CGBR95C"}</definedName>
    <definedName name="wrn.table2." localSheetId="17" hidden="1">{#N/A,#N/A,FALSE,"CGBR95C"}</definedName>
    <definedName name="wrn.table2." localSheetId="26" hidden="1">{#N/A,#N/A,FALSE,"CGBR95C"}</definedName>
    <definedName name="wrn.table2." hidden="1">{#N/A,#N/A,FALSE,"CGBR95C"}</definedName>
    <definedName name="wrn.tablea." localSheetId="5" hidden="1">{#N/A,#N/A,FALSE,"CGBR95C"}</definedName>
    <definedName name="wrn.tablea." localSheetId="17" hidden="1">{#N/A,#N/A,FALSE,"CGBR95C"}</definedName>
    <definedName name="wrn.tablea." localSheetId="26" hidden="1">{#N/A,#N/A,FALSE,"CGBR95C"}</definedName>
    <definedName name="wrn.tablea." hidden="1">{#N/A,#N/A,FALSE,"CGBR95C"}</definedName>
    <definedName name="wrn.tableb." localSheetId="5" hidden="1">{#N/A,#N/A,FALSE,"CGBR95C"}</definedName>
    <definedName name="wrn.tableb." localSheetId="17" hidden="1">{#N/A,#N/A,FALSE,"CGBR95C"}</definedName>
    <definedName name="wrn.tableb." localSheetId="26" hidden="1">{#N/A,#N/A,FALSE,"CGBR95C"}</definedName>
    <definedName name="wrn.tableb." hidden="1">{#N/A,#N/A,FALSE,"CGBR95C"}</definedName>
    <definedName name="wrn.tableq." localSheetId="5" hidden="1">{#N/A,#N/A,FALSE,"CGBR95C"}</definedName>
    <definedName name="wrn.tableq." localSheetId="17" hidden="1">{#N/A,#N/A,FALSE,"CGBR95C"}</definedName>
    <definedName name="wrn.tableq." localSheetId="26" hidden="1">{#N/A,#N/A,FALSE,"CGBR95C"}</definedName>
    <definedName name="wrn.tableq." hidden="1">{#N/A,#N/A,FALSE,"CGBR95C"}</definedName>
    <definedName name="wrn.TMCOMP." localSheetId="5"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26"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 i="37" l="1"/>
  <c r="D36" i="37"/>
  <c r="C36" i="37"/>
  <c r="F74" i="4"/>
  <c r="D92" i="4"/>
  <c r="D136" i="9" l="1"/>
  <c r="C32" i="37" l="1"/>
  <c r="C35" i="37" s="1"/>
  <c r="C7" i="40" l="1"/>
  <c r="C37" i="37"/>
  <c r="D32" i="37"/>
  <c r="D35" i="37" s="1"/>
  <c r="D37" i="37" s="1"/>
  <c r="E32" i="37"/>
  <c r="E35" i="37" s="1"/>
  <c r="E37" i="37" s="1"/>
  <c r="H14" i="68"/>
  <c r="D37" i="21"/>
  <c r="E37" i="21"/>
  <c r="C37" i="21"/>
  <c r="J30" i="23"/>
  <c r="C33" i="21"/>
  <c r="C36" i="21" s="1"/>
  <c r="D33" i="21"/>
  <c r="D36" i="21" s="1"/>
  <c r="D38" i="21" s="1"/>
  <c r="C24" i="37" l="1"/>
  <c r="C25" i="37" s="1"/>
  <c r="D24" i="37"/>
  <c r="D25" i="37" s="1"/>
  <c r="D25" i="21"/>
  <c r="E33" i="21"/>
  <c r="E36" i="21" s="1"/>
  <c r="E38" i="21" s="1"/>
  <c r="E25" i="21" s="1"/>
  <c r="E26" i="21" l="1"/>
  <c r="D17" i="21" s="1"/>
  <c r="D26" i="21"/>
  <c r="D14" i="21" s="1"/>
  <c r="C38" i="21"/>
  <c r="E24" i="37"/>
  <c r="E25" i="37" s="1"/>
  <c r="J37" i="11"/>
  <c r="J38" i="11"/>
  <c r="J36" i="11"/>
  <c r="F36" i="11"/>
  <c r="K36" i="11" s="1"/>
  <c r="E37" i="11"/>
  <c r="E38" i="11"/>
  <c r="E36" i="11"/>
  <c r="C25" i="21" l="1"/>
  <c r="C26" i="21" s="1"/>
  <c r="D11" i="21" s="1"/>
  <c r="F15" i="41"/>
  <c r="F14" i="41"/>
  <c r="F13" i="41"/>
  <c r="I6" i="49" l="1"/>
  <c r="I6" i="41"/>
  <c r="K12" i="68"/>
  <c r="M12" i="68"/>
  <c r="Q12" i="68"/>
  <c r="S12" i="68"/>
  <c r="K11" i="68"/>
  <c r="N11" i="68"/>
  <c r="P11" i="68"/>
  <c r="S11" i="68"/>
  <c r="F13" i="68"/>
  <c r="G11" i="68"/>
  <c r="K13" i="68"/>
  <c r="M11" i="68"/>
  <c r="P13" i="68"/>
  <c r="Q11" i="68"/>
  <c r="R11" i="68"/>
  <c r="P14" i="68"/>
  <c r="R14" i="68"/>
  <c r="S14" i="68"/>
  <c r="H12" i="68"/>
  <c r="I14" i="68"/>
  <c r="G14" i="68"/>
  <c r="F14" i="68"/>
  <c r="G13" i="68"/>
  <c r="P12" i="68"/>
  <c r="Q14" i="68"/>
  <c r="N14" i="68"/>
  <c r="M14" i="68"/>
  <c r="L14" i="68"/>
  <c r="K14" i="68"/>
  <c r="S13" i="68"/>
  <c r="N13" i="68"/>
  <c r="L13" i="68"/>
  <c r="I13" i="68"/>
  <c r="H13" i="68"/>
  <c r="N12" i="68"/>
  <c r="L12" i="68"/>
  <c r="I12" i="68"/>
  <c r="G12" i="68"/>
  <c r="F12" i="68"/>
  <c r="L11" i="68"/>
  <c r="I11" i="68"/>
  <c r="H11" i="68"/>
  <c r="F11" i="68"/>
  <c r="R13" i="68" l="1"/>
  <c r="R12" i="68"/>
  <c r="Q13" i="68"/>
  <c r="Q16" i="68" s="1"/>
  <c r="N16" i="68"/>
  <c r="K16" i="68"/>
  <c r="L16" i="68"/>
  <c r="S16" i="68"/>
  <c r="P16" i="68"/>
  <c r="I16" i="68"/>
  <c r="H16" i="68"/>
  <c r="F16" i="68"/>
  <c r="G16" i="68"/>
  <c r="M13" i="68"/>
  <c r="M16" i="68" s="1"/>
  <c r="F31" i="68"/>
  <c r="G31" i="68"/>
  <c r="R16" i="68" l="1"/>
  <c r="G22" i="11" l="1"/>
  <c r="D15" i="66"/>
  <c r="G24" i="11" s="1"/>
  <c r="D14" i="66"/>
  <c r="G23" i="11" s="1"/>
  <c r="F7" i="11" l="1"/>
  <c r="F8" i="11"/>
  <c r="F12" i="11"/>
  <c r="F13" i="11"/>
  <c r="F14" i="11"/>
  <c r="F6" i="11"/>
  <c r="D29" i="4" l="1"/>
  <c r="D28" i="4"/>
  <c r="D27" i="4"/>
  <c r="D26" i="4"/>
  <c r="D25" i="4"/>
  <c r="D24" i="4"/>
  <c r="D23" i="4"/>
  <c r="D22" i="4"/>
  <c r="D21" i="4"/>
  <c r="D20" i="4"/>
  <c r="D19" i="4"/>
  <c r="D18" i="4"/>
  <c r="D17" i="4"/>
  <c r="D16" i="4"/>
  <c r="D15" i="4"/>
  <c r="D14" i="4"/>
  <c r="D13" i="4"/>
  <c r="D12" i="4"/>
  <c r="D11" i="4"/>
  <c r="D10" i="4"/>
  <c r="D9" i="4"/>
  <c r="D8" i="4"/>
  <c r="D7" i="4"/>
  <c r="F96" i="4" l="1"/>
  <c r="D87" i="4"/>
  <c r="D47" i="19"/>
  <c r="E25" i="19"/>
  <c r="F15" i="19" s="1"/>
  <c r="E13" i="11"/>
  <c r="E14" i="11"/>
  <c r="E12" i="11"/>
  <c r="K8" i="19"/>
  <c r="C17" i="9"/>
  <c r="L10" i="51" l="1"/>
  <c r="L11" i="51"/>
  <c r="L12" i="51"/>
  <c r="H25" i="5" l="1"/>
  <c r="D97" i="4" l="1"/>
  <c r="D78" i="4"/>
  <c r="L9" i="51"/>
  <c r="D73" i="4"/>
  <c r="L16" i="51" l="1"/>
  <c r="L15" i="51"/>
  <c r="L14" i="51"/>
  <c r="F19" i="60"/>
  <c r="D17" i="9"/>
  <c r="N97" i="9" l="1"/>
  <c r="K154" i="9" s="1"/>
  <c r="H97" i="9"/>
  <c r="E154" i="9" s="1"/>
  <c r="I97" i="9"/>
  <c r="J97" i="9"/>
  <c r="K97" i="9"/>
  <c r="L97" i="9"/>
  <c r="M97" i="9"/>
  <c r="G97" i="9"/>
  <c r="F76" i="4"/>
  <c r="E19" i="60"/>
  <c r="E12" i="60"/>
  <c r="F12" i="60" s="1"/>
  <c r="F22" i="60" s="1"/>
  <c r="F51" i="9"/>
  <c r="F52" i="9"/>
  <c r="F50" i="9"/>
  <c r="E41" i="9"/>
  <c r="E42" i="9" s="1"/>
  <c r="D143" i="9"/>
  <c r="K143" i="9"/>
  <c r="D29" i="24"/>
  <c r="L52" i="7" l="1"/>
  <c r="I52" i="7"/>
  <c r="K52" i="7"/>
  <c r="J52" i="7"/>
  <c r="F55" i="9"/>
  <c r="J6" i="11" s="1"/>
  <c r="K6" i="11" s="1"/>
  <c r="F56" i="9"/>
  <c r="J7" i="11" s="1"/>
  <c r="F57" i="9"/>
  <c r="J8" i="11" l="1"/>
  <c r="K57" i="4" l="1"/>
  <c r="D30" i="24" l="1"/>
  <c r="E29" i="24"/>
  <c r="C8" i="67" s="1"/>
  <c r="H8" i="67" l="1"/>
  <c r="H75" i="67" s="1"/>
  <c r="C36" i="67"/>
  <c r="H36" i="67" s="1"/>
  <c r="C26" i="67"/>
  <c r="H26" i="67" s="1"/>
  <c r="G8" i="11"/>
  <c r="G7" i="11"/>
  <c r="G6" i="11"/>
  <c r="E8" i="11"/>
  <c r="E6" i="11"/>
  <c r="E7" i="11"/>
  <c r="K83" i="8" l="1"/>
  <c r="K82" i="8"/>
  <c r="K81" i="8"/>
  <c r="K80" i="8"/>
  <c r="K79" i="8"/>
  <c r="K78" i="8"/>
  <c r="K77" i="8"/>
  <c r="K76" i="8"/>
  <c r="K75" i="8"/>
  <c r="K74" i="8"/>
  <c r="K73" i="8"/>
  <c r="K72" i="8"/>
  <c r="K71" i="8"/>
  <c r="K70" i="8"/>
  <c r="K69" i="8"/>
  <c r="K68" i="8"/>
  <c r="K67" i="8"/>
  <c r="K66" i="8"/>
  <c r="K65" i="8"/>
  <c r="K64" i="8"/>
  <c r="K63" i="8"/>
  <c r="K62" i="8"/>
  <c r="K61" i="8"/>
  <c r="K60" i="8"/>
  <c r="K59" i="8"/>
  <c r="K58" i="8"/>
  <c r="K57" i="8"/>
  <c r="K56" i="8"/>
  <c r="K55" i="8"/>
  <c r="K54" i="8"/>
  <c r="K53" i="8"/>
  <c r="K52" i="8"/>
  <c r="K51" i="8"/>
  <c r="K50" i="8"/>
  <c r="K49" i="8"/>
  <c r="K48" i="8"/>
  <c r="K47" i="8"/>
  <c r="K46" i="8"/>
  <c r="K45" i="8"/>
  <c r="K44" i="8"/>
  <c r="K43" i="8"/>
  <c r="K42" i="8"/>
  <c r="K41" i="8"/>
  <c r="K40" i="8"/>
  <c r="K39" i="8"/>
  <c r="K38" i="8"/>
  <c r="K37" i="8"/>
  <c r="K36" i="8"/>
  <c r="K35" i="8"/>
  <c r="K34" i="8"/>
  <c r="K33" i="8"/>
  <c r="K32" i="8"/>
  <c r="K31" i="8"/>
  <c r="K30" i="8"/>
  <c r="K29" i="8"/>
  <c r="K28" i="8"/>
  <c r="K27" i="8"/>
  <c r="K26" i="8"/>
  <c r="K25" i="8"/>
  <c r="K24" i="8"/>
  <c r="K23" i="8"/>
  <c r="K22" i="8"/>
  <c r="K21" i="8"/>
  <c r="K20" i="8"/>
  <c r="K19" i="8"/>
  <c r="K18" i="8"/>
  <c r="K17" i="8"/>
  <c r="K16" i="8"/>
  <c r="K15" i="8"/>
  <c r="O13" i="5" s="1"/>
  <c r="K14" i="8"/>
  <c r="K13" i="8"/>
  <c r="K12" i="8"/>
  <c r="K11" i="8"/>
  <c r="Q15" i="5" l="1"/>
  <c r="Q36" i="5"/>
  <c r="Q13" i="5"/>
  <c r="Q20" i="5"/>
  <c r="Q14" i="5"/>
  <c r="P13" i="5"/>
  <c r="P15" i="5"/>
  <c r="P17" i="5"/>
  <c r="P19" i="5"/>
  <c r="P21" i="5"/>
  <c r="P23" i="5"/>
  <c r="P25" i="5"/>
  <c r="P27" i="5"/>
  <c r="Q29" i="5"/>
  <c r="Q31" i="5"/>
  <c r="Q33" i="5"/>
  <c r="Q35" i="5"/>
  <c r="Q37" i="5"/>
  <c r="Q18" i="5"/>
  <c r="Q17" i="5"/>
  <c r="Q19" i="5"/>
  <c r="Q21" i="5"/>
  <c r="Q23" i="5"/>
  <c r="Q25" i="5"/>
  <c r="Q27" i="5"/>
  <c r="O30" i="5"/>
  <c r="O32" i="5"/>
  <c r="O34" i="5"/>
  <c r="O36" i="5"/>
  <c r="Q16" i="5"/>
  <c r="O14" i="5"/>
  <c r="O16" i="5"/>
  <c r="O18" i="5"/>
  <c r="O20" i="5"/>
  <c r="O22" i="5"/>
  <c r="O24" i="5"/>
  <c r="O26" i="5"/>
  <c r="Q24" i="5"/>
  <c r="P28" i="5"/>
  <c r="P30" i="5"/>
  <c r="P32" i="5"/>
  <c r="P34" i="5"/>
  <c r="P36" i="5"/>
  <c r="P14" i="5"/>
  <c r="P16" i="5"/>
  <c r="P18" i="5"/>
  <c r="P20" i="5"/>
  <c r="P22" i="5"/>
  <c r="P24" i="5"/>
  <c r="P26" i="5"/>
  <c r="Q28" i="5"/>
  <c r="Q30" i="5"/>
  <c r="Q32" i="5"/>
  <c r="Q34" i="5"/>
  <c r="Q22" i="5"/>
  <c r="O29" i="5"/>
  <c r="O33" i="5"/>
  <c r="O37" i="5"/>
  <c r="O15" i="5"/>
  <c r="O17" i="5"/>
  <c r="O19" i="5"/>
  <c r="O21" i="5"/>
  <c r="O23" i="5"/>
  <c r="O25" i="5"/>
  <c r="O27" i="5"/>
  <c r="Q26" i="5"/>
  <c r="O31" i="5"/>
  <c r="O35" i="5"/>
  <c r="P29" i="5"/>
  <c r="P31" i="5"/>
  <c r="P33" i="5"/>
  <c r="P35" i="5"/>
  <c r="P37" i="5"/>
  <c r="O28" i="5"/>
  <c r="Q39" i="48" l="1"/>
  <c r="P39" i="48"/>
  <c r="O39" i="48"/>
  <c r="Q38" i="48"/>
  <c r="P38" i="48"/>
  <c r="O38" i="48"/>
  <c r="Q37" i="48"/>
  <c r="P37" i="48"/>
  <c r="O37" i="48"/>
  <c r="Q36" i="48"/>
  <c r="P36" i="48"/>
  <c r="O36" i="48"/>
  <c r="Q35" i="48"/>
  <c r="P35" i="48"/>
  <c r="O35" i="48"/>
  <c r="Q34" i="48"/>
  <c r="P34" i="48"/>
  <c r="O34" i="48"/>
  <c r="Q33" i="48"/>
  <c r="P33" i="48"/>
  <c r="O33" i="48"/>
  <c r="Q32" i="48"/>
  <c r="P32" i="48"/>
  <c r="O32" i="48"/>
  <c r="Q31" i="48"/>
  <c r="P31" i="48"/>
  <c r="O31" i="48"/>
  <c r="Q30" i="48"/>
  <c r="P30" i="48"/>
  <c r="O30" i="48"/>
  <c r="Q29" i="48"/>
  <c r="P29" i="48"/>
  <c r="O29" i="48"/>
  <c r="Q28" i="48"/>
  <c r="P28" i="48"/>
  <c r="O28" i="48"/>
  <c r="Q27" i="48"/>
  <c r="P27" i="48"/>
  <c r="O27" i="48"/>
  <c r="Q26" i="48"/>
  <c r="P26" i="48"/>
  <c r="O26" i="48"/>
  <c r="Q25" i="48"/>
  <c r="P25" i="48"/>
  <c r="O25" i="48"/>
  <c r="Q24" i="48"/>
  <c r="P24" i="48"/>
  <c r="O24" i="48"/>
  <c r="Q23" i="48"/>
  <c r="P23" i="48"/>
  <c r="O23" i="48"/>
  <c r="Q22" i="48"/>
  <c r="P22" i="48"/>
  <c r="O22" i="48"/>
  <c r="Q21" i="48"/>
  <c r="P21" i="48"/>
  <c r="O21" i="48"/>
  <c r="Q20" i="48"/>
  <c r="P20" i="48"/>
  <c r="O20" i="48"/>
  <c r="Q19" i="48"/>
  <c r="P19" i="48"/>
  <c r="O19" i="48"/>
  <c r="Q18" i="48"/>
  <c r="P18" i="48"/>
  <c r="O18" i="48"/>
  <c r="Q17" i="48"/>
  <c r="P17" i="48"/>
  <c r="O17" i="48"/>
  <c r="Q16" i="48"/>
  <c r="P16" i="48"/>
  <c r="O16" i="48"/>
  <c r="Q15" i="48"/>
  <c r="P15" i="48"/>
  <c r="O15" i="48"/>
  <c r="Q38" i="39"/>
  <c r="P38" i="39"/>
  <c r="O38" i="39"/>
  <c r="Q37" i="39"/>
  <c r="P37" i="39"/>
  <c r="O37" i="39"/>
  <c r="Q36" i="39"/>
  <c r="P36" i="39"/>
  <c r="O36" i="39"/>
  <c r="Q35" i="39"/>
  <c r="P35" i="39"/>
  <c r="O35" i="39"/>
  <c r="Q34" i="39"/>
  <c r="P34" i="39"/>
  <c r="O34" i="39"/>
  <c r="Q33" i="39"/>
  <c r="P33" i="39"/>
  <c r="O33" i="39"/>
  <c r="Q32" i="39"/>
  <c r="P32" i="39"/>
  <c r="O32" i="39"/>
  <c r="Q31" i="39"/>
  <c r="P31" i="39"/>
  <c r="O31" i="39"/>
  <c r="Q30" i="39"/>
  <c r="P30" i="39"/>
  <c r="O30" i="39"/>
  <c r="Q29" i="39"/>
  <c r="P29" i="39"/>
  <c r="O29" i="39"/>
  <c r="Q28" i="39"/>
  <c r="P28" i="39"/>
  <c r="O28" i="39"/>
  <c r="Q27" i="39"/>
  <c r="P27" i="39"/>
  <c r="O27" i="39"/>
  <c r="Q26" i="39"/>
  <c r="P26" i="39"/>
  <c r="O26" i="39"/>
  <c r="Q25" i="39"/>
  <c r="P25" i="39"/>
  <c r="O25" i="39"/>
  <c r="Q24" i="39"/>
  <c r="P24" i="39"/>
  <c r="O24" i="39"/>
  <c r="Q23" i="39"/>
  <c r="P23" i="39"/>
  <c r="O23" i="39"/>
  <c r="Q22" i="39"/>
  <c r="P22" i="39"/>
  <c r="O22" i="39"/>
  <c r="Q21" i="39"/>
  <c r="P21" i="39"/>
  <c r="O21" i="39"/>
  <c r="Q20" i="39"/>
  <c r="P20" i="39"/>
  <c r="O20" i="39"/>
  <c r="Q19" i="39"/>
  <c r="P19" i="39"/>
  <c r="O19" i="39"/>
  <c r="Q18" i="39"/>
  <c r="P18" i="39"/>
  <c r="O18" i="39"/>
  <c r="Q17" i="39"/>
  <c r="P17" i="39"/>
  <c r="O17" i="39"/>
  <c r="Q16" i="39"/>
  <c r="P16" i="39"/>
  <c r="O16" i="39"/>
  <c r="Q15" i="39"/>
  <c r="P15" i="39"/>
  <c r="O15" i="39"/>
  <c r="Q14" i="39"/>
  <c r="P14" i="39"/>
  <c r="O14" i="39"/>
  <c r="E9" i="50" l="1"/>
  <c r="D9" i="50"/>
  <c r="C9" i="50"/>
  <c r="E8" i="50"/>
  <c r="D8" i="50"/>
  <c r="C8" i="50"/>
  <c r="F15" i="49"/>
  <c r="F19" i="49" s="1"/>
  <c r="F14" i="49"/>
  <c r="F18" i="49" s="1"/>
  <c r="F13" i="49"/>
  <c r="F17" i="49" s="1"/>
  <c r="G7" i="49"/>
  <c r="F7" i="49"/>
  <c r="F6" i="49"/>
  <c r="N39" i="48"/>
  <c r="M39" i="48"/>
  <c r="L39" i="48"/>
  <c r="K39" i="48"/>
  <c r="J39" i="48"/>
  <c r="I39" i="48"/>
  <c r="H39" i="48"/>
  <c r="N38" i="48"/>
  <c r="M38" i="48"/>
  <c r="L38" i="48"/>
  <c r="AF38" i="48" s="1"/>
  <c r="K38" i="48"/>
  <c r="N37" i="48"/>
  <c r="M37" i="48"/>
  <c r="L37" i="48"/>
  <c r="AF37" i="48" s="1"/>
  <c r="K37" i="48"/>
  <c r="AA37" i="48" s="1"/>
  <c r="J37" i="48"/>
  <c r="I37" i="48"/>
  <c r="H37" i="48"/>
  <c r="N36" i="48"/>
  <c r="M36" i="48"/>
  <c r="L36" i="48"/>
  <c r="AG36" i="48" s="1"/>
  <c r="K36" i="48"/>
  <c r="AA36" i="48" s="1"/>
  <c r="J36" i="48"/>
  <c r="I36" i="48"/>
  <c r="H36" i="48"/>
  <c r="N35" i="48"/>
  <c r="M35" i="48"/>
  <c r="L35" i="48"/>
  <c r="AG35" i="48" s="1"/>
  <c r="K35" i="48"/>
  <c r="AA35" i="48" s="1"/>
  <c r="J35" i="48"/>
  <c r="I35" i="48"/>
  <c r="H35" i="48"/>
  <c r="N34" i="48"/>
  <c r="M34" i="48"/>
  <c r="L34" i="48"/>
  <c r="AE34" i="48" s="1"/>
  <c r="K34" i="48"/>
  <c r="AA34" i="48" s="1"/>
  <c r="J34" i="48"/>
  <c r="I34" i="48"/>
  <c r="H34" i="48"/>
  <c r="N33" i="48"/>
  <c r="M33" i="48"/>
  <c r="L33" i="48"/>
  <c r="AG33" i="48" s="1"/>
  <c r="K33" i="48"/>
  <c r="AA33" i="48" s="1"/>
  <c r="J33" i="48"/>
  <c r="I33" i="48"/>
  <c r="H33" i="48"/>
  <c r="N32" i="48"/>
  <c r="M32" i="48"/>
  <c r="L32" i="48"/>
  <c r="AG32" i="48" s="1"/>
  <c r="K32" i="48"/>
  <c r="AA32" i="48" s="1"/>
  <c r="J32" i="48"/>
  <c r="I32" i="48"/>
  <c r="H32" i="48"/>
  <c r="N31" i="48"/>
  <c r="M31" i="48"/>
  <c r="L31" i="48"/>
  <c r="K31" i="48"/>
  <c r="AA31" i="48" s="1"/>
  <c r="J31" i="48"/>
  <c r="I31" i="48"/>
  <c r="H31" i="48"/>
  <c r="N30" i="48"/>
  <c r="M30" i="48"/>
  <c r="L30" i="48"/>
  <c r="AF30" i="48" s="1"/>
  <c r="K30" i="48"/>
  <c r="AA30" i="48" s="1"/>
  <c r="J30" i="48"/>
  <c r="I30" i="48"/>
  <c r="H30" i="48"/>
  <c r="N29" i="48"/>
  <c r="M29" i="48"/>
  <c r="L29" i="48"/>
  <c r="AG29" i="48" s="1"/>
  <c r="K29" i="48"/>
  <c r="AA29" i="48" s="1"/>
  <c r="J29" i="48"/>
  <c r="I29" i="48"/>
  <c r="H29" i="48"/>
  <c r="N28" i="48"/>
  <c r="M28" i="48"/>
  <c r="L28" i="48"/>
  <c r="AE28" i="48" s="1"/>
  <c r="K28" i="48"/>
  <c r="AA28" i="48" s="1"/>
  <c r="J28" i="48"/>
  <c r="I28" i="48"/>
  <c r="H28" i="48"/>
  <c r="N27" i="48"/>
  <c r="M27" i="48"/>
  <c r="L27" i="48"/>
  <c r="AG27" i="48" s="1"/>
  <c r="K27" i="48"/>
  <c r="AA27" i="48" s="1"/>
  <c r="J27" i="48"/>
  <c r="I27" i="48"/>
  <c r="H27" i="48"/>
  <c r="N26" i="48"/>
  <c r="M26" i="48"/>
  <c r="L26" i="48"/>
  <c r="AE26" i="48" s="1"/>
  <c r="K26" i="48"/>
  <c r="AA26" i="48" s="1"/>
  <c r="J26" i="48"/>
  <c r="I26" i="48"/>
  <c r="H26" i="48"/>
  <c r="N25" i="48"/>
  <c r="M25" i="48"/>
  <c r="L25" i="48"/>
  <c r="AG25" i="48" s="1"/>
  <c r="K25" i="48"/>
  <c r="AA25" i="48" s="1"/>
  <c r="J25" i="48"/>
  <c r="I25" i="48"/>
  <c r="H25" i="48"/>
  <c r="N24" i="48"/>
  <c r="M24" i="48"/>
  <c r="L24" i="48"/>
  <c r="AE24" i="48" s="1"/>
  <c r="K24" i="48"/>
  <c r="AA24" i="48" s="1"/>
  <c r="J24" i="48"/>
  <c r="I24" i="48"/>
  <c r="H24" i="48"/>
  <c r="N23" i="48"/>
  <c r="M23" i="48"/>
  <c r="L23" i="48"/>
  <c r="AG23" i="48" s="1"/>
  <c r="K23" i="48"/>
  <c r="AA23" i="48" s="1"/>
  <c r="J23" i="48"/>
  <c r="I23" i="48"/>
  <c r="H23" i="48"/>
  <c r="N22" i="48"/>
  <c r="M22" i="48"/>
  <c r="L22" i="48"/>
  <c r="K22" i="48"/>
  <c r="AA22" i="48" s="1"/>
  <c r="J22" i="48"/>
  <c r="I22" i="48"/>
  <c r="H22" i="48"/>
  <c r="N21" i="48"/>
  <c r="M21" i="48"/>
  <c r="L21" i="48"/>
  <c r="AG21" i="48" s="1"/>
  <c r="K21" i="48"/>
  <c r="AA21" i="48" s="1"/>
  <c r="J21" i="48"/>
  <c r="I21" i="48"/>
  <c r="H21" i="48"/>
  <c r="N20" i="48"/>
  <c r="M20" i="48"/>
  <c r="L20" i="48"/>
  <c r="AF20" i="48" s="1"/>
  <c r="K20" i="48"/>
  <c r="AA20" i="48" s="1"/>
  <c r="J20" i="48"/>
  <c r="I20" i="48"/>
  <c r="H20" i="48"/>
  <c r="N19" i="48"/>
  <c r="M19" i="48"/>
  <c r="L19" i="48"/>
  <c r="AG19" i="48" s="1"/>
  <c r="K19" i="48"/>
  <c r="AA19" i="48" s="1"/>
  <c r="J19" i="48"/>
  <c r="I19" i="48"/>
  <c r="H19" i="48"/>
  <c r="N18" i="48"/>
  <c r="M18" i="48"/>
  <c r="L18" i="48"/>
  <c r="K18" i="48"/>
  <c r="AA18" i="48" s="1"/>
  <c r="J18" i="48"/>
  <c r="I18" i="48"/>
  <c r="H18" i="48"/>
  <c r="G18" i="48"/>
  <c r="N17" i="48"/>
  <c r="M17" i="48"/>
  <c r="L17" i="48"/>
  <c r="AG17" i="48" s="1"/>
  <c r="K17" i="48"/>
  <c r="AA17" i="48" s="1"/>
  <c r="J17" i="48"/>
  <c r="I17" i="48"/>
  <c r="H17" i="48"/>
  <c r="N16" i="48"/>
  <c r="M16" i="48"/>
  <c r="L16" i="48"/>
  <c r="AG16" i="48" s="1"/>
  <c r="K16" i="48"/>
  <c r="AA16" i="48" s="1"/>
  <c r="J16" i="48"/>
  <c r="I16" i="48"/>
  <c r="H16" i="48"/>
  <c r="G16" i="48"/>
  <c r="N15" i="48"/>
  <c r="M15" i="48"/>
  <c r="L15" i="48"/>
  <c r="AG15" i="48" s="1"/>
  <c r="K15" i="48"/>
  <c r="AA15" i="48" s="1"/>
  <c r="J15" i="48"/>
  <c r="I15" i="48"/>
  <c r="H15" i="48"/>
  <c r="D32" i="47"/>
  <c r="E32" i="47" s="1"/>
  <c r="E49" i="67" s="1"/>
  <c r="J49" i="67" s="1"/>
  <c r="D31" i="47"/>
  <c r="E31" i="47" s="1"/>
  <c r="D49" i="67" s="1"/>
  <c r="I49" i="67" s="1"/>
  <c r="D30" i="47"/>
  <c r="E30" i="47" s="1"/>
  <c r="C49" i="67" s="1"/>
  <c r="H49" i="67" s="1"/>
  <c r="E7" i="50"/>
  <c r="D7" i="50"/>
  <c r="C7" i="50"/>
  <c r="G13" i="44"/>
  <c r="D46" i="67" s="1"/>
  <c r="I46" i="67" s="1"/>
  <c r="F13" i="44"/>
  <c r="D47" i="67" s="1"/>
  <c r="I47" i="67" s="1"/>
  <c r="E13" i="44"/>
  <c r="H13" i="44" s="1"/>
  <c r="G12" i="44"/>
  <c r="C46" i="67" s="1"/>
  <c r="H46" i="67" s="1"/>
  <c r="F12" i="44"/>
  <c r="C47" i="67" s="1"/>
  <c r="H47" i="67" s="1"/>
  <c r="E12" i="44"/>
  <c r="H12" i="44" s="1"/>
  <c r="G11" i="44"/>
  <c r="E46" i="67" s="1"/>
  <c r="J46" i="67" s="1"/>
  <c r="F11" i="44"/>
  <c r="E47" i="67" s="1"/>
  <c r="J47" i="67" s="1"/>
  <c r="E11" i="44"/>
  <c r="H11" i="44" s="1"/>
  <c r="AF23" i="48" l="1"/>
  <c r="AE21" i="48"/>
  <c r="AE23" i="48"/>
  <c r="AF29" i="48"/>
  <c r="AF31" i="48"/>
  <c r="AE29" i="48"/>
  <c r="AE33" i="48"/>
  <c r="AG31" i="48"/>
  <c r="AG34" i="48"/>
  <c r="AF25" i="48"/>
  <c r="AG30" i="48"/>
  <c r="AE30" i="48"/>
  <c r="Z16" i="48"/>
  <c r="AD16" i="48" s="1"/>
  <c r="Z18" i="48"/>
  <c r="AD18" i="48" s="1"/>
  <c r="AE35" i="48"/>
  <c r="AF24" i="48"/>
  <c r="AF22" i="48"/>
  <c r="AE25" i="48"/>
  <c r="AF27" i="48"/>
  <c r="AG37" i="48"/>
  <c r="AE22" i="48"/>
  <c r="AF26" i="48"/>
  <c r="AE27" i="48"/>
  <c r="AF28" i="48"/>
  <c r="X48" i="48"/>
  <c r="E10" i="50"/>
  <c r="D48" i="67" s="1"/>
  <c r="I48" i="67" s="1"/>
  <c r="D10" i="50"/>
  <c r="C48" i="67" s="1"/>
  <c r="H48" i="67" s="1"/>
  <c r="C10" i="50"/>
  <c r="E48" i="67" s="1"/>
  <c r="J48" i="67" s="1"/>
  <c r="AF36" i="48"/>
  <c r="AG18" i="48"/>
  <c r="AG24" i="48"/>
  <c r="AG26" i="48"/>
  <c r="AG28" i="48"/>
  <c r="AE20" i="48"/>
  <c r="AG22" i="48"/>
  <c r="AG20" i="48"/>
  <c r="AE15" i="48"/>
  <c r="AE16" i="48"/>
  <c r="AE17" i="48"/>
  <c r="AE18" i="48"/>
  <c r="AE19" i="48"/>
  <c r="AF15" i="48"/>
  <c r="X80" i="48"/>
  <c r="T16" i="48"/>
  <c r="AF16" i="48"/>
  <c r="AF17" i="48"/>
  <c r="X82" i="48"/>
  <c r="X50" i="48"/>
  <c r="T18" i="48"/>
  <c r="AF18" i="48"/>
  <c r="AF19" i="48"/>
  <c r="AF21" i="48"/>
  <c r="U48" i="48"/>
  <c r="U80" i="48"/>
  <c r="U82" i="48"/>
  <c r="U50" i="48"/>
  <c r="W16" i="48"/>
  <c r="W18" i="48"/>
  <c r="AF33" i="48"/>
  <c r="AE31" i="48"/>
  <c r="AE32" i="48"/>
  <c r="AF35" i="48"/>
  <c r="AF32" i="48"/>
  <c r="AF34" i="48"/>
  <c r="AF39" i="48"/>
  <c r="AG38" i="48"/>
  <c r="AG39" i="48"/>
  <c r="AE36" i="48"/>
  <c r="AE37" i="48"/>
  <c r="AE38" i="48"/>
  <c r="AE39" i="48"/>
  <c r="AJ18" i="48" l="1"/>
  <c r="AJ16" i="48"/>
  <c r="AG40" i="48"/>
  <c r="AE40" i="48"/>
  <c r="AF40" i="48"/>
  <c r="F19" i="41" l="1"/>
  <c r="F18" i="41"/>
  <c r="F17" i="41"/>
  <c r="G7" i="41"/>
  <c r="F7" i="41"/>
  <c r="F6" i="41"/>
  <c r="E9" i="40"/>
  <c r="D9" i="40"/>
  <c r="C9" i="40"/>
  <c r="E8" i="40"/>
  <c r="D8" i="40"/>
  <c r="C8" i="40"/>
  <c r="N38" i="39"/>
  <c r="M38" i="39"/>
  <c r="L38" i="39"/>
  <c r="K38" i="39"/>
  <c r="J38" i="39"/>
  <c r="I38" i="39"/>
  <c r="H38" i="39"/>
  <c r="N37" i="39"/>
  <c r="M37" i="39"/>
  <c r="L37" i="39"/>
  <c r="K37" i="39"/>
  <c r="N36" i="39"/>
  <c r="M36" i="39"/>
  <c r="L36" i="39"/>
  <c r="K36" i="39"/>
  <c r="J36" i="39"/>
  <c r="I36" i="39"/>
  <c r="H36" i="39"/>
  <c r="N35" i="39"/>
  <c r="M35" i="39"/>
  <c r="L35" i="39"/>
  <c r="K35" i="39"/>
  <c r="J35" i="39"/>
  <c r="I35" i="39"/>
  <c r="H35" i="39"/>
  <c r="N34" i="39"/>
  <c r="M34" i="39"/>
  <c r="L34" i="39"/>
  <c r="K34" i="39"/>
  <c r="J34" i="39"/>
  <c r="I34" i="39"/>
  <c r="H34" i="39"/>
  <c r="N33" i="39"/>
  <c r="M33" i="39"/>
  <c r="L33" i="39"/>
  <c r="K33" i="39"/>
  <c r="J33" i="39"/>
  <c r="I33" i="39"/>
  <c r="H33" i="39"/>
  <c r="N32" i="39"/>
  <c r="M32" i="39"/>
  <c r="L32" i="39"/>
  <c r="K32" i="39"/>
  <c r="J32" i="39"/>
  <c r="I32" i="39"/>
  <c r="H32" i="39"/>
  <c r="N31" i="39"/>
  <c r="M31" i="39"/>
  <c r="L31" i="39"/>
  <c r="K31" i="39"/>
  <c r="AA31" i="39" s="1"/>
  <c r="J31" i="39"/>
  <c r="I31" i="39"/>
  <c r="H31" i="39"/>
  <c r="N30" i="39"/>
  <c r="M30" i="39"/>
  <c r="L30" i="39"/>
  <c r="K30" i="39"/>
  <c r="AA30" i="39" s="1"/>
  <c r="J30" i="39"/>
  <c r="I30" i="39"/>
  <c r="H30" i="39"/>
  <c r="N29" i="39"/>
  <c r="M29" i="39"/>
  <c r="L29" i="39"/>
  <c r="K29" i="39"/>
  <c r="AA29" i="39" s="1"/>
  <c r="J29" i="39"/>
  <c r="I29" i="39"/>
  <c r="H29" i="39"/>
  <c r="N28" i="39"/>
  <c r="M28" i="39"/>
  <c r="L28" i="39"/>
  <c r="K28" i="39"/>
  <c r="AA28" i="39" s="1"/>
  <c r="J28" i="39"/>
  <c r="I28" i="39"/>
  <c r="H28" i="39"/>
  <c r="N27" i="39"/>
  <c r="M27" i="39"/>
  <c r="L27" i="39"/>
  <c r="K27" i="39"/>
  <c r="AA27" i="39" s="1"/>
  <c r="J27" i="39"/>
  <c r="I27" i="39"/>
  <c r="H27" i="39"/>
  <c r="N26" i="39"/>
  <c r="M26" i="39"/>
  <c r="L26" i="39"/>
  <c r="K26" i="39"/>
  <c r="AA26" i="39" s="1"/>
  <c r="J26" i="39"/>
  <c r="I26" i="39"/>
  <c r="H26" i="39"/>
  <c r="N25" i="39"/>
  <c r="M25" i="39"/>
  <c r="L25" i="39"/>
  <c r="K25" i="39"/>
  <c r="AA25" i="39" s="1"/>
  <c r="J25" i="39"/>
  <c r="I25" i="39"/>
  <c r="H25" i="39"/>
  <c r="N24" i="39"/>
  <c r="M24" i="39"/>
  <c r="L24" i="39"/>
  <c r="K24" i="39"/>
  <c r="AA24" i="39" s="1"/>
  <c r="J24" i="39"/>
  <c r="I24" i="39"/>
  <c r="H24" i="39"/>
  <c r="N23" i="39"/>
  <c r="M23" i="39"/>
  <c r="L23" i="39"/>
  <c r="K23" i="39"/>
  <c r="AA23" i="39" s="1"/>
  <c r="J23" i="39"/>
  <c r="I23" i="39"/>
  <c r="H23" i="39"/>
  <c r="N22" i="39"/>
  <c r="M22" i="39"/>
  <c r="L22" i="39"/>
  <c r="K22" i="39"/>
  <c r="AA22" i="39" s="1"/>
  <c r="J22" i="39"/>
  <c r="I22" i="39"/>
  <c r="H22" i="39"/>
  <c r="N21" i="39"/>
  <c r="M21" i="39"/>
  <c r="L21" i="39"/>
  <c r="K21" i="39"/>
  <c r="AA21" i="39" s="1"/>
  <c r="J21" i="39"/>
  <c r="I21" i="39"/>
  <c r="H21" i="39"/>
  <c r="N20" i="39"/>
  <c r="M20" i="39"/>
  <c r="L20" i="39"/>
  <c r="K20" i="39"/>
  <c r="AA20" i="39" s="1"/>
  <c r="J20" i="39"/>
  <c r="I20" i="39"/>
  <c r="H20" i="39"/>
  <c r="N19" i="39"/>
  <c r="M19" i="39"/>
  <c r="L19" i="39"/>
  <c r="K19" i="39"/>
  <c r="AA19" i="39" s="1"/>
  <c r="J19" i="39"/>
  <c r="I19" i="39"/>
  <c r="H19" i="39"/>
  <c r="N18" i="39"/>
  <c r="M18" i="39"/>
  <c r="L18" i="39"/>
  <c r="K18" i="39"/>
  <c r="AA18" i="39" s="1"/>
  <c r="J18" i="39"/>
  <c r="I18" i="39"/>
  <c r="H18" i="39"/>
  <c r="N17" i="39"/>
  <c r="M17" i="39"/>
  <c r="L17" i="39"/>
  <c r="K17" i="39"/>
  <c r="AA17" i="39" s="1"/>
  <c r="J17" i="39"/>
  <c r="I17" i="39"/>
  <c r="H17" i="39"/>
  <c r="G17" i="39"/>
  <c r="N16" i="39"/>
  <c r="M16" i="39"/>
  <c r="L16" i="39"/>
  <c r="K16" i="39"/>
  <c r="AA16" i="39" s="1"/>
  <c r="J16" i="39"/>
  <c r="I16" i="39"/>
  <c r="H16" i="39"/>
  <c r="N15" i="39"/>
  <c r="M15" i="39"/>
  <c r="L15" i="39"/>
  <c r="K15" i="39"/>
  <c r="AA15" i="39" s="1"/>
  <c r="J15" i="39"/>
  <c r="I15" i="39"/>
  <c r="H15" i="39"/>
  <c r="G15" i="39"/>
  <c r="N14" i="39"/>
  <c r="M14" i="39"/>
  <c r="L14" i="39"/>
  <c r="K14" i="39"/>
  <c r="J14" i="39"/>
  <c r="I14" i="39"/>
  <c r="H14" i="39"/>
  <c r="D30" i="38"/>
  <c r="E30" i="38" s="1"/>
  <c r="E59" i="67" s="1"/>
  <c r="J59" i="67" s="1"/>
  <c r="D29" i="38"/>
  <c r="E29" i="38" s="1"/>
  <c r="D59" i="67" s="1"/>
  <c r="I59" i="67" s="1"/>
  <c r="D28" i="38"/>
  <c r="E28" i="38" s="1"/>
  <c r="C59" i="67" s="1"/>
  <c r="H59" i="67" s="1"/>
  <c r="E7" i="40"/>
  <c r="D7" i="40"/>
  <c r="G13" i="35"/>
  <c r="D56" i="67" s="1"/>
  <c r="I56" i="67" s="1"/>
  <c r="F13" i="35"/>
  <c r="D57" i="67" s="1"/>
  <c r="I57" i="67" s="1"/>
  <c r="E13" i="35"/>
  <c r="H13" i="35" s="1"/>
  <c r="G12" i="35"/>
  <c r="C56" i="67" s="1"/>
  <c r="H56" i="67" s="1"/>
  <c r="F12" i="35"/>
  <c r="C57" i="67" s="1"/>
  <c r="H57" i="67" s="1"/>
  <c r="E12" i="35"/>
  <c r="H12" i="35" s="1"/>
  <c r="G11" i="35"/>
  <c r="E56" i="67" s="1"/>
  <c r="J56" i="67" s="1"/>
  <c r="F11" i="35"/>
  <c r="E57" i="67" s="1"/>
  <c r="J57" i="67" s="1"/>
  <c r="E11" i="35"/>
  <c r="H11" i="35" s="1"/>
  <c r="D10" i="40" l="1"/>
  <c r="C58" i="67" s="1"/>
  <c r="E10" i="40"/>
  <c r="D58" i="67" s="1"/>
  <c r="AF16" i="39"/>
  <c r="AF23" i="39"/>
  <c r="AG27" i="39"/>
  <c r="AG30" i="39"/>
  <c r="AG25" i="39"/>
  <c r="AE15" i="39"/>
  <c r="AG20" i="39"/>
  <c r="AE32" i="39"/>
  <c r="AF22" i="39"/>
  <c r="AG21" i="39"/>
  <c r="AF17" i="39"/>
  <c r="AF29" i="39"/>
  <c r="AF38" i="39"/>
  <c r="AG24" i="39"/>
  <c r="AF14" i="39"/>
  <c r="AF19" i="39"/>
  <c r="AF31" i="39"/>
  <c r="AF24" i="39"/>
  <c r="AG22" i="39"/>
  <c r="AE14" i="39"/>
  <c r="AG29" i="39"/>
  <c r="AG28" i="39"/>
  <c r="AF28" i="39"/>
  <c r="T15" i="39"/>
  <c r="AF25" i="39"/>
  <c r="AF21" i="39"/>
  <c r="AE19" i="39"/>
  <c r="AG31" i="39"/>
  <c r="AE18" i="39"/>
  <c r="AF27" i="39"/>
  <c r="AF30" i="39"/>
  <c r="AG26" i="39"/>
  <c r="AG23" i="39"/>
  <c r="Z17" i="39"/>
  <c r="AD17" i="39" s="1"/>
  <c r="AF20" i="39"/>
  <c r="AF26" i="39"/>
  <c r="AG19" i="39"/>
  <c r="AE16" i="39"/>
  <c r="C10" i="40"/>
  <c r="E58" i="67" s="1"/>
  <c r="AG33" i="39"/>
  <c r="AG35" i="39"/>
  <c r="AG37" i="39"/>
  <c r="AG36" i="39"/>
  <c r="X79" i="39"/>
  <c r="X47" i="39"/>
  <c r="AG14" i="39"/>
  <c r="U47" i="39"/>
  <c r="U79" i="39"/>
  <c r="AA14" i="39"/>
  <c r="X81" i="39"/>
  <c r="X49" i="39"/>
  <c r="W17" i="39"/>
  <c r="T17" i="39"/>
  <c r="W15" i="39"/>
  <c r="AG16" i="39"/>
  <c r="U81" i="39"/>
  <c r="U49" i="39"/>
  <c r="AE17" i="39"/>
  <c r="AF15" i="39"/>
  <c r="AG17" i="39"/>
  <c r="AF18" i="39"/>
  <c r="Z15" i="39"/>
  <c r="AD15" i="39" s="1"/>
  <c r="AG15" i="39"/>
  <c r="AG18" i="39"/>
  <c r="AA34" i="39"/>
  <c r="AF34" i="39"/>
  <c r="AE36" i="39"/>
  <c r="AF32" i="39"/>
  <c r="AG32" i="39"/>
  <c r="AA35" i="39"/>
  <c r="AE20" i="39"/>
  <c r="AE23" i="39"/>
  <c r="AE24" i="39"/>
  <c r="AE25" i="39"/>
  <c r="AE26" i="39"/>
  <c r="AE27" i="39"/>
  <c r="AE28" i="39"/>
  <c r="AE29" i="39"/>
  <c r="AE30" i="39"/>
  <c r="AE31" i="39"/>
  <c r="AA32" i="39"/>
  <c r="AE33" i="39"/>
  <c r="AF35" i="39"/>
  <c r="AE37" i="39"/>
  <c r="AE21" i="39"/>
  <c r="AE22" i="39"/>
  <c r="AA36" i="39"/>
  <c r="AE34" i="39"/>
  <c r="AF36" i="39"/>
  <c r="AA33" i="39"/>
  <c r="AG34" i="39"/>
  <c r="AF33" i="39"/>
  <c r="AE35" i="39"/>
  <c r="AF37" i="39"/>
  <c r="AG38" i="39"/>
  <c r="AE38" i="39"/>
  <c r="AJ15" i="39" l="1"/>
  <c r="AF39" i="39"/>
  <c r="AE39" i="39"/>
  <c r="AG39" i="39"/>
  <c r="AJ17" i="39"/>
  <c r="D17" i="32"/>
  <c r="I25" i="32" l="1"/>
  <c r="J49" i="7" s="1"/>
  <c r="H25" i="32"/>
  <c r="I49" i="7" s="1"/>
  <c r="K25" i="32"/>
  <c r="L49" i="7" s="1"/>
  <c r="J25" i="32"/>
  <c r="K49" i="7" s="1"/>
  <c r="H38" i="48"/>
  <c r="H37" i="39"/>
  <c r="I38" i="48"/>
  <c r="I37" i="39"/>
  <c r="J38" i="48"/>
  <c r="J37" i="39"/>
  <c r="E6" i="49" l="1"/>
  <c r="E6" i="41"/>
  <c r="G14" i="11"/>
  <c r="G13" i="11"/>
  <c r="G12" i="11"/>
  <c r="N14" i="5" l="1"/>
  <c r="F14" i="19"/>
  <c r="E18" i="49" l="1"/>
  <c r="I18" i="49" s="1"/>
  <c r="J18" i="49" s="1"/>
  <c r="E17" i="49"/>
  <c r="I17" i="49" s="1"/>
  <c r="J17" i="49" s="1"/>
  <c r="E19" i="49"/>
  <c r="I19" i="49" s="1"/>
  <c r="J19" i="49" s="1"/>
  <c r="E19" i="41"/>
  <c r="I19" i="41" s="1"/>
  <c r="J19" i="41" s="1"/>
  <c r="E18" i="41"/>
  <c r="I18" i="41" s="1"/>
  <c r="J18" i="41" s="1"/>
  <c r="E17" i="41"/>
  <c r="I17" i="41" s="1"/>
  <c r="J17" i="41" s="1"/>
  <c r="E14" i="49"/>
  <c r="I14" i="49" s="1"/>
  <c r="J14" i="49" s="1"/>
  <c r="E15" i="49"/>
  <c r="I15" i="49" s="1"/>
  <c r="J15" i="49" s="1"/>
  <c r="E13" i="49"/>
  <c r="I13" i="49" s="1"/>
  <c r="J13" i="49" s="1"/>
  <c r="E14" i="41"/>
  <c r="I14" i="41" s="1"/>
  <c r="J14" i="41" s="1"/>
  <c r="E13" i="41"/>
  <c r="I13" i="41" s="1"/>
  <c r="J13" i="41" s="1"/>
  <c r="E15" i="41"/>
  <c r="I15" i="41" s="1"/>
  <c r="J15" i="41" s="1"/>
  <c r="E28" i="11"/>
  <c r="E27" i="11"/>
  <c r="E26" i="11"/>
  <c r="E17" i="9"/>
  <c r="E74" i="4"/>
  <c r="D74" i="4"/>
  <c r="F95" i="4"/>
  <c r="E95" i="4"/>
  <c r="D95" i="4"/>
  <c r="F94" i="4"/>
  <c r="E94" i="4"/>
  <c r="D94" i="4"/>
  <c r="F93" i="4"/>
  <c r="E93" i="4"/>
  <c r="D93" i="4"/>
  <c r="F92" i="4"/>
  <c r="E92" i="4"/>
  <c r="F91" i="4"/>
  <c r="E91" i="4"/>
  <c r="D91" i="4"/>
  <c r="F90" i="4"/>
  <c r="E90" i="4"/>
  <c r="D90" i="4"/>
  <c r="F89" i="4"/>
  <c r="E89" i="4"/>
  <c r="D89" i="4"/>
  <c r="F88" i="4"/>
  <c r="E88" i="4"/>
  <c r="D88" i="4"/>
  <c r="F87" i="4"/>
  <c r="E87" i="4"/>
  <c r="F86" i="4"/>
  <c r="E86" i="4"/>
  <c r="D86" i="4"/>
  <c r="F85" i="4"/>
  <c r="E85" i="4"/>
  <c r="D85" i="4"/>
  <c r="E84" i="4"/>
  <c r="D84" i="4"/>
  <c r="F83" i="4"/>
  <c r="E83" i="4"/>
  <c r="D83" i="4"/>
  <c r="E82" i="4"/>
  <c r="D82" i="4"/>
  <c r="F81" i="4"/>
  <c r="E81" i="4"/>
  <c r="D81" i="4"/>
  <c r="F80" i="4"/>
  <c r="E80" i="4"/>
  <c r="D80" i="4"/>
  <c r="F79" i="4"/>
  <c r="E79" i="4"/>
  <c r="D79" i="4"/>
  <c r="E19" i="5" s="1"/>
  <c r="E78" i="4"/>
  <c r="F77" i="4"/>
  <c r="E77" i="4"/>
  <c r="D77" i="4"/>
  <c r="E76" i="4"/>
  <c r="D76" i="4"/>
  <c r="F75" i="4"/>
  <c r="E75" i="4"/>
  <c r="D75" i="4"/>
  <c r="F73" i="4"/>
  <c r="E73" i="4"/>
  <c r="E97" i="4"/>
  <c r="G17" i="48" l="1"/>
  <c r="G16" i="39"/>
  <c r="E20" i="48"/>
  <c r="E19" i="39"/>
  <c r="E22" i="48"/>
  <c r="E21" i="39"/>
  <c r="E24" i="48"/>
  <c r="E23" i="39"/>
  <c r="E26" i="48"/>
  <c r="E25" i="39"/>
  <c r="E28" i="48"/>
  <c r="E27" i="39"/>
  <c r="E30" i="48"/>
  <c r="E29" i="39"/>
  <c r="E32" i="48"/>
  <c r="E31" i="39"/>
  <c r="E34" i="48"/>
  <c r="E33" i="39"/>
  <c r="E36" i="48"/>
  <c r="E35" i="39"/>
  <c r="E16" i="48"/>
  <c r="E15" i="39"/>
  <c r="E18" i="48"/>
  <c r="E17" i="39"/>
  <c r="F22" i="48"/>
  <c r="F21" i="39"/>
  <c r="F26" i="48"/>
  <c r="F25" i="39"/>
  <c r="F28" i="48"/>
  <c r="F27" i="39"/>
  <c r="F30" i="48"/>
  <c r="F29" i="39"/>
  <c r="F32" i="48"/>
  <c r="F31" i="39"/>
  <c r="F34" i="48"/>
  <c r="F33" i="39"/>
  <c r="F36" i="48"/>
  <c r="F35" i="39"/>
  <c r="F16" i="48"/>
  <c r="F15" i="39"/>
  <c r="F20" i="48"/>
  <c r="F19" i="39"/>
  <c r="G28" i="48"/>
  <c r="G27" i="39"/>
  <c r="G30" i="48"/>
  <c r="G29" i="39"/>
  <c r="G32" i="48"/>
  <c r="G31" i="39"/>
  <c r="G34" i="48"/>
  <c r="G33" i="39"/>
  <c r="G36" i="48"/>
  <c r="G35" i="39"/>
  <c r="G22" i="48"/>
  <c r="G21" i="39"/>
  <c r="E23" i="48"/>
  <c r="E22" i="39"/>
  <c r="E25" i="48"/>
  <c r="E24" i="39"/>
  <c r="E27" i="48"/>
  <c r="E26" i="39"/>
  <c r="E29" i="48"/>
  <c r="E28" i="39"/>
  <c r="E31" i="48"/>
  <c r="E30" i="39"/>
  <c r="E33" i="48"/>
  <c r="E32" i="39"/>
  <c r="E35" i="48"/>
  <c r="E34" i="39"/>
  <c r="E37" i="48"/>
  <c r="E36" i="39"/>
  <c r="F24" i="48"/>
  <c r="F23" i="39"/>
  <c r="E21" i="48"/>
  <c r="E20" i="39"/>
  <c r="E17" i="48"/>
  <c r="E16" i="39"/>
  <c r="F18" i="48"/>
  <c r="F17" i="39"/>
  <c r="E19" i="48"/>
  <c r="E18" i="39"/>
  <c r="F19" i="48"/>
  <c r="F18" i="39"/>
  <c r="F21" i="48"/>
  <c r="F20" i="39"/>
  <c r="F23" i="48"/>
  <c r="F22" i="39"/>
  <c r="F25" i="48"/>
  <c r="F24" i="39"/>
  <c r="F27" i="48"/>
  <c r="F26" i="39"/>
  <c r="F29" i="48"/>
  <c r="F28" i="39"/>
  <c r="F31" i="48"/>
  <c r="F30" i="39"/>
  <c r="F33" i="48"/>
  <c r="F32" i="39"/>
  <c r="F35" i="48"/>
  <c r="F34" i="39"/>
  <c r="F37" i="48"/>
  <c r="F36" i="39"/>
  <c r="F17" i="48"/>
  <c r="F16" i="39"/>
  <c r="G19" i="48"/>
  <c r="G18" i="39"/>
  <c r="G21" i="48"/>
  <c r="G20" i="39"/>
  <c r="G23" i="48"/>
  <c r="G22" i="39"/>
  <c r="G25" i="48"/>
  <c r="G24" i="39"/>
  <c r="G27" i="48"/>
  <c r="G26" i="39"/>
  <c r="G29" i="48"/>
  <c r="G28" i="39"/>
  <c r="G31" i="48"/>
  <c r="G30" i="39"/>
  <c r="G33" i="48"/>
  <c r="G32" i="39"/>
  <c r="G35" i="48"/>
  <c r="G34" i="39"/>
  <c r="G37" i="48"/>
  <c r="G36" i="39"/>
  <c r="E15" i="48"/>
  <c r="E14" i="39"/>
  <c r="V46" i="39" s="1"/>
  <c r="G15" i="48"/>
  <c r="G14" i="39"/>
  <c r="F15" i="48"/>
  <c r="F14" i="39"/>
  <c r="H7" i="11"/>
  <c r="I7" i="11" s="1"/>
  <c r="H6" i="11"/>
  <c r="H8" i="11"/>
  <c r="I8" i="11" s="1"/>
  <c r="F39" i="48"/>
  <c r="F38" i="39"/>
  <c r="D96" i="4"/>
  <c r="E36" i="5" s="1"/>
  <c r="E96" i="4"/>
  <c r="AA38" i="48"/>
  <c r="AA37" i="39"/>
  <c r="AA39" i="48"/>
  <c r="AA38" i="39"/>
  <c r="G6" i="49"/>
  <c r="H6" i="49" s="1"/>
  <c r="J6" i="49" s="1"/>
  <c r="G6" i="41"/>
  <c r="H6" i="41" s="1"/>
  <c r="J6" i="41" s="1"/>
  <c r="D31" i="24"/>
  <c r="E31" i="24" s="1"/>
  <c r="E8" i="67" s="1"/>
  <c r="G13" i="22"/>
  <c r="E5" i="67" s="1"/>
  <c r="G12" i="22"/>
  <c r="D5" i="67" s="1"/>
  <c r="G11" i="22"/>
  <c r="C5" i="67" s="1"/>
  <c r="F13" i="22"/>
  <c r="E6" i="67" s="1"/>
  <c r="F12" i="22"/>
  <c r="D6" i="67" s="1"/>
  <c r="F11" i="22"/>
  <c r="C6" i="67" s="1"/>
  <c r="E13" i="22"/>
  <c r="H13" i="22" s="1"/>
  <c r="C24" i="67" l="1"/>
  <c r="H24" i="67" s="1"/>
  <c r="C34" i="67"/>
  <c r="H34" i="67" s="1"/>
  <c r="H6" i="67"/>
  <c r="H73" i="67" s="1"/>
  <c r="D24" i="67"/>
  <c r="I24" i="67" s="1"/>
  <c r="D34" i="67"/>
  <c r="I34" i="67" s="1"/>
  <c r="I6" i="67"/>
  <c r="I73" i="67" s="1"/>
  <c r="E24" i="67"/>
  <c r="J24" i="67" s="1"/>
  <c r="E34" i="67"/>
  <c r="J34" i="67" s="1"/>
  <c r="J6" i="67"/>
  <c r="J73" i="67" s="1"/>
  <c r="C33" i="67"/>
  <c r="H33" i="67" s="1"/>
  <c r="C23" i="67"/>
  <c r="H23" i="67" s="1"/>
  <c r="H5" i="67"/>
  <c r="D33" i="67"/>
  <c r="I33" i="67" s="1"/>
  <c r="D23" i="67"/>
  <c r="I23" i="67" s="1"/>
  <c r="I5" i="67"/>
  <c r="E33" i="67"/>
  <c r="J33" i="67" s="1"/>
  <c r="E23" i="67"/>
  <c r="J23" i="67" s="1"/>
  <c r="J5" i="67"/>
  <c r="J8" i="67"/>
  <c r="J75" i="67" s="1"/>
  <c r="E26" i="67"/>
  <c r="J26" i="67" s="1"/>
  <c r="E36" i="67"/>
  <c r="J36" i="67" s="1"/>
  <c r="X96" i="39"/>
  <c r="X64" i="39"/>
  <c r="U64" i="39"/>
  <c r="W32" i="39"/>
  <c r="T32" i="39"/>
  <c r="U96" i="39"/>
  <c r="Z32" i="39"/>
  <c r="AD32" i="39" s="1"/>
  <c r="X87" i="48"/>
  <c r="X55" i="48"/>
  <c r="U87" i="48"/>
  <c r="T23" i="48"/>
  <c r="U55" i="48"/>
  <c r="Z23" i="48"/>
  <c r="AD23" i="48" s="1"/>
  <c r="W23" i="48"/>
  <c r="T48" i="39"/>
  <c r="W48" i="39"/>
  <c r="T80" i="39"/>
  <c r="Y16" i="39"/>
  <c r="AC16" i="39" s="1"/>
  <c r="S16" i="39"/>
  <c r="W80" i="39"/>
  <c r="V16" i="39"/>
  <c r="Y36" i="39"/>
  <c r="AC36" i="39" s="1"/>
  <c r="T100" i="39"/>
  <c r="T68" i="39"/>
  <c r="V36" i="39"/>
  <c r="W68" i="39"/>
  <c r="S36" i="39"/>
  <c r="W100" i="39"/>
  <c r="S27" i="48"/>
  <c r="W91" i="48"/>
  <c r="W59" i="48"/>
  <c r="V27" i="48"/>
  <c r="Y27" i="48"/>
  <c r="AC27" i="48" s="1"/>
  <c r="T91" i="48"/>
  <c r="T59" i="48"/>
  <c r="T52" i="39"/>
  <c r="W52" i="39"/>
  <c r="T84" i="39"/>
  <c r="Y20" i="39"/>
  <c r="AC20" i="39" s="1"/>
  <c r="S20" i="39"/>
  <c r="V20" i="39"/>
  <c r="W84" i="39"/>
  <c r="U18" i="39"/>
  <c r="R18" i="39"/>
  <c r="X18" i="39"/>
  <c r="AB18" i="39" s="1"/>
  <c r="V82" i="39"/>
  <c r="V50" i="39"/>
  <c r="S82" i="39"/>
  <c r="S50" i="39"/>
  <c r="T88" i="48"/>
  <c r="W88" i="48"/>
  <c r="Y24" i="48"/>
  <c r="AC24" i="48" s="1"/>
  <c r="S24" i="48"/>
  <c r="T56" i="48"/>
  <c r="W56" i="48"/>
  <c r="V24" i="48"/>
  <c r="V62" i="39"/>
  <c r="U30" i="39"/>
  <c r="S94" i="39"/>
  <c r="S62" i="39"/>
  <c r="R30" i="39"/>
  <c r="X30" i="39"/>
  <c r="AB30" i="39" s="1"/>
  <c r="V94" i="39"/>
  <c r="S86" i="39"/>
  <c r="R22" i="39"/>
  <c r="U22" i="39"/>
  <c r="S54" i="39"/>
  <c r="V86" i="39"/>
  <c r="V54" i="39"/>
  <c r="X22" i="39"/>
  <c r="AB22" i="39" s="1"/>
  <c r="X68" i="48"/>
  <c r="T36" i="48"/>
  <c r="Z36" i="48"/>
  <c r="AD36" i="48" s="1"/>
  <c r="U68" i="48"/>
  <c r="U100" i="48"/>
  <c r="X100" i="48"/>
  <c r="W36" i="48"/>
  <c r="X61" i="39"/>
  <c r="U93" i="39"/>
  <c r="U61" i="39"/>
  <c r="W29" i="39"/>
  <c r="T29" i="39"/>
  <c r="Z29" i="39"/>
  <c r="AD29" i="39" s="1"/>
  <c r="X93" i="39"/>
  <c r="W98" i="48"/>
  <c r="W66" i="48"/>
  <c r="T98" i="48"/>
  <c r="S34" i="48"/>
  <c r="V34" i="48"/>
  <c r="Y34" i="48"/>
  <c r="AC34" i="48" s="1"/>
  <c r="T66" i="48"/>
  <c r="Y21" i="39"/>
  <c r="AC21" i="39" s="1"/>
  <c r="T85" i="39"/>
  <c r="W53" i="39"/>
  <c r="T53" i="39"/>
  <c r="S21" i="39"/>
  <c r="V21" i="39"/>
  <c r="W85" i="39"/>
  <c r="S80" i="48"/>
  <c r="S48" i="48"/>
  <c r="R16" i="48"/>
  <c r="X16" i="48"/>
  <c r="AB16" i="48" s="1"/>
  <c r="V48" i="48"/>
  <c r="U16" i="48"/>
  <c r="V80" i="48"/>
  <c r="U30" i="48"/>
  <c r="V94" i="48"/>
  <c r="S62" i="48"/>
  <c r="S94" i="48"/>
  <c r="X30" i="48"/>
  <c r="AB30" i="48" s="1"/>
  <c r="R30" i="48"/>
  <c r="V62" i="48"/>
  <c r="S88" i="48"/>
  <c r="X24" i="48"/>
  <c r="AB24" i="48" s="1"/>
  <c r="S56" i="48"/>
  <c r="U24" i="48"/>
  <c r="R24" i="48"/>
  <c r="V56" i="48"/>
  <c r="V88" i="48"/>
  <c r="X65" i="48"/>
  <c r="U65" i="48"/>
  <c r="W33" i="48"/>
  <c r="Z33" i="48"/>
  <c r="AD33" i="48" s="1"/>
  <c r="X97" i="48"/>
  <c r="T33" i="48"/>
  <c r="U97" i="48"/>
  <c r="X90" i="39"/>
  <c r="T26" i="39"/>
  <c r="X58" i="39"/>
  <c r="U90" i="39"/>
  <c r="W26" i="39"/>
  <c r="U58" i="39"/>
  <c r="Z26" i="39"/>
  <c r="AD26" i="39" s="1"/>
  <c r="Y17" i="48"/>
  <c r="AC17" i="48" s="1"/>
  <c r="V17" i="48"/>
  <c r="T49" i="48"/>
  <c r="W49" i="48"/>
  <c r="T81" i="48"/>
  <c r="W81" i="48"/>
  <c r="S17" i="48"/>
  <c r="V37" i="48"/>
  <c r="S37" i="48"/>
  <c r="W101" i="48"/>
  <c r="Y37" i="48"/>
  <c r="AC37" i="48" s="1"/>
  <c r="T69" i="48"/>
  <c r="T101" i="48"/>
  <c r="W69" i="48"/>
  <c r="S30" i="39"/>
  <c r="T62" i="39"/>
  <c r="V30" i="39"/>
  <c r="W94" i="39"/>
  <c r="W62" i="39"/>
  <c r="Y30" i="39"/>
  <c r="AC30" i="39" s="1"/>
  <c r="T94" i="39"/>
  <c r="V21" i="48"/>
  <c r="T53" i="48"/>
  <c r="W53" i="48"/>
  <c r="Y21" i="48"/>
  <c r="AC21" i="48" s="1"/>
  <c r="T85" i="48"/>
  <c r="W85" i="48"/>
  <c r="S21" i="48"/>
  <c r="R19" i="48"/>
  <c r="S83" i="48"/>
  <c r="S51" i="48"/>
  <c r="X19" i="48"/>
  <c r="AB19" i="48" s="1"/>
  <c r="V83" i="48"/>
  <c r="V51" i="48"/>
  <c r="U19" i="48"/>
  <c r="R31" i="48"/>
  <c r="X31" i="48"/>
  <c r="AB31" i="48" s="1"/>
  <c r="U31" i="48"/>
  <c r="V95" i="48"/>
  <c r="S95" i="48"/>
  <c r="V63" i="48"/>
  <c r="S63" i="48"/>
  <c r="U23" i="48"/>
  <c r="S87" i="48"/>
  <c r="S55" i="48"/>
  <c r="X23" i="48"/>
  <c r="AB23" i="48" s="1"/>
  <c r="R23" i="48"/>
  <c r="V87" i="48"/>
  <c r="V55" i="48"/>
  <c r="X62" i="48"/>
  <c r="Z30" i="48"/>
  <c r="AD30" i="48" s="1"/>
  <c r="X94" i="48"/>
  <c r="U94" i="48"/>
  <c r="W30" i="48"/>
  <c r="T30" i="48"/>
  <c r="U62" i="48"/>
  <c r="S15" i="39"/>
  <c r="W47" i="39"/>
  <c r="V15" i="39"/>
  <c r="W79" i="39"/>
  <c r="T47" i="39"/>
  <c r="Y15" i="39"/>
  <c r="AC15" i="39" s="1"/>
  <c r="T79" i="39"/>
  <c r="S22" i="48"/>
  <c r="Y22" i="48"/>
  <c r="AC22" i="48" s="1"/>
  <c r="W54" i="48"/>
  <c r="T54" i="48"/>
  <c r="V22" i="48"/>
  <c r="T86" i="48"/>
  <c r="W86" i="48"/>
  <c r="S67" i="39"/>
  <c r="U35" i="39"/>
  <c r="R35" i="39"/>
  <c r="S99" i="39"/>
  <c r="V67" i="39"/>
  <c r="V99" i="39"/>
  <c r="X35" i="39"/>
  <c r="AB35" i="39" s="1"/>
  <c r="R21" i="39"/>
  <c r="S53" i="39"/>
  <c r="V85" i="39"/>
  <c r="S85" i="39"/>
  <c r="V53" i="39"/>
  <c r="X21" i="39"/>
  <c r="AB21" i="39" s="1"/>
  <c r="U21" i="39"/>
  <c r="Z36" i="39"/>
  <c r="AD36" i="39" s="1"/>
  <c r="U68" i="39"/>
  <c r="T36" i="39"/>
  <c r="U100" i="39"/>
  <c r="X100" i="39"/>
  <c r="X68" i="39"/>
  <c r="W36" i="39"/>
  <c r="Z27" i="48"/>
  <c r="AD27" i="48" s="1"/>
  <c r="X59" i="48"/>
  <c r="U91" i="48"/>
  <c r="T27" i="48"/>
  <c r="U59" i="48"/>
  <c r="W27" i="48"/>
  <c r="X91" i="48"/>
  <c r="U84" i="39"/>
  <c r="W20" i="39"/>
  <c r="X52" i="39"/>
  <c r="X84" i="39"/>
  <c r="T20" i="39"/>
  <c r="Z20" i="39"/>
  <c r="AD20" i="39" s="1"/>
  <c r="U52" i="39"/>
  <c r="T95" i="48"/>
  <c r="T63" i="48"/>
  <c r="Y31" i="48"/>
  <c r="AC31" i="48" s="1"/>
  <c r="S31" i="48"/>
  <c r="V31" i="48"/>
  <c r="W95" i="48"/>
  <c r="W63" i="48"/>
  <c r="S24" i="39"/>
  <c r="T56" i="39"/>
  <c r="Y24" i="39"/>
  <c r="AC24" i="39" s="1"/>
  <c r="T88" i="39"/>
  <c r="W88" i="39"/>
  <c r="V24" i="39"/>
  <c r="W56" i="39"/>
  <c r="W81" i="39"/>
  <c r="T81" i="39"/>
  <c r="W49" i="39"/>
  <c r="T49" i="39"/>
  <c r="V17" i="39"/>
  <c r="Y17" i="39"/>
  <c r="AC17" i="39" s="1"/>
  <c r="S17" i="39"/>
  <c r="S68" i="39"/>
  <c r="S100" i="39"/>
  <c r="R36" i="39"/>
  <c r="V68" i="39"/>
  <c r="V100" i="39"/>
  <c r="X36" i="39"/>
  <c r="AB36" i="39" s="1"/>
  <c r="U36" i="39"/>
  <c r="V92" i="39"/>
  <c r="U28" i="39"/>
  <c r="S60" i="39"/>
  <c r="X28" i="39"/>
  <c r="AB28" i="39" s="1"/>
  <c r="S92" i="39"/>
  <c r="V60" i="39"/>
  <c r="R28" i="39"/>
  <c r="T21" i="39"/>
  <c r="X53" i="39"/>
  <c r="U53" i="39"/>
  <c r="Z21" i="39"/>
  <c r="AD21" i="39" s="1"/>
  <c r="W21" i="39"/>
  <c r="X85" i="39"/>
  <c r="U85" i="39"/>
  <c r="X97" i="39"/>
  <c r="W33" i="39"/>
  <c r="T33" i="39"/>
  <c r="Z33" i="39"/>
  <c r="AD33" i="39" s="1"/>
  <c r="U97" i="39"/>
  <c r="X65" i="39"/>
  <c r="U65" i="39"/>
  <c r="T48" i="48"/>
  <c r="W48" i="48"/>
  <c r="T80" i="48"/>
  <c r="V16" i="48"/>
  <c r="S16" i="48"/>
  <c r="W80" i="48"/>
  <c r="Y16" i="48"/>
  <c r="AC16" i="48" s="1"/>
  <c r="S31" i="39"/>
  <c r="T63" i="39"/>
  <c r="T95" i="39"/>
  <c r="W63" i="39"/>
  <c r="V31" i="39"/>
  <c r="W95" i="39"/>
  <c r="Y31" i="39"/>
  <c r="AC31" i="39" s="1"/>
  <c r="Y27" i="39"/>
  <c r="AC27" i="39" s="1"/>
  <c r="T59" i="39"/>
  <c r="S27" i="39"/>
  <c r="V27" i="39"/>
  <c r="T91" i="39"/>
  <c r="W59" i="39"/>
  <c r="W91" i="39"/>
  <c r="R36" i="48"/>
  <c r="S100" i="48"/>
  <c r="U36" i="48"/>
  <c r="S68" i="48"/>
  <c r="X36" i="48"/>
  <c r="AB36" i="48" s="1"/>
  <c r="V68" i="48"/>
  <c r="V100" i="48"/>
  <c r="X22" i="48"/>
  <c r="AB22" i="48" s="1"/>
  <c r="V86" i="48"/>
  <c r="V54" i="48"/>
  <c r="S54" i="48"/>
  <c r="U22" i="48"/>
  <c r="S86" i="48"/>
  <c r="R22" i="48"/>
  <c r="X101" i="48"/>
  <c r="W37" i="48"/>
  <c r="U69" i="48"/>
  <c r="X69" i="48"/>
  <c r="T37" i="48"/>
  <c r="U101" i="48"/>
  <c r="Z37" i="48"/>
  <c r="AD37" i="48" s="1"/>
  <c r="X94" i="39"/>
  <c r="Z30" i="39"/>
  <c r="AD30" i="39" s="1"/>
  <c r="W30" i="39"/>
  <c r="X62" i="39"/>
  <c r="T30" i="39"/>
  <c r="U94" i="39"/>
  <c r="U62" i="39"/>
  <c r="T21" i="48"/>
  <c r="X53" i="48"/>
  <c r="Z21" i="48"/>
  <c r="AD21" i="48" s="1"/>
  <c r="X85" i="48"/>
  <c r="U53" i="48"/>
  <c r="U85" i="48"/>
  <c r="W21" i="48"/>
  <c r="Y34" i="39"/>
  <c r="AC34" i="39" s="1"/>
  <c r="T98" i="39"/>
  <c r="W66" i="39"/>
  <c r="W98" i="39"/>
  <c r="S34" i="39"/>
  <c r="T66" i="39"/>
  <c r="V34" i="39"/>
  <c r="S25" i="48"/>
  <c r="Y25" i="48"/>
  <c r="AC25" i="48" s="1"/>
  <c r="T57" i="48"/>
  <c r="W57" i="48"/>
  <c r="V25" i="48"/>
  <c r="T89" i="48"/>
  <c r="W89" i="48"/>
  <c r="W82" i="39"/>
  <c r="W50" i="39"/>
  <c r="Y18" i="39"/>
  <c r="AC18" i="39" s="1"/>
  <c r="T82" i="39"/>
  <c r="T50" i="39"/>
  <c r="S18" i="39"/>
  <c r="V18" i="39"/>
  <c r="T82" i="48"/>
  <c r="W82" i="48"/>
  <c r="S18" i="48"/>
  <c r="Y18" i="48"/>
  <c r="AC18" i="48" s="1"/>
  <c r="V18" i="48"/>
  <c r="W50" i="48"/>
  <c r="T50" i="48"/>
  <c r="X16" i="39"/>
  <c r="AB16" i="39" s="1"/>
  <c r="V48" i="39"/>
  <c r="R16" i="39"/>
  <c r="S48" i="39"/>
  <c r="U16" i="39"/>
  <c r="S80" i="39"/>
  <c r="V80" i="39"/>
  <c r="V69" i="48"/>
  <c r="X37" i="48"/>
  <c r="AB37" i="48" s="1"/>
  <c r="V101" i="48"/>
  <c r="S101" i="48"/>
  <c r="S69" i="48"/>
  <c r="U37" i="48"/>
  <c r="R37" i="48"/>
  <c r="V61" i="48"/>
  <c r="S61" i="48"/>
  <c r="U29" i="48"/>
  <c r="S93" i="48"/>
  <c r="R29" i="48"/>
  <c r="X29" i="48"/>
  <c r="AB29" i="48" s="1"/>
  <c r="V93" i="48"/>
  <c r="T22" i="48"/>
  <c r="X54" i="48"/>
  <c r="Z22" i="48"/>
  <c r="AD22" i="48" s="1"/>
  <c r="U54" i="48"/>
  <c r="W22" i="48"/>
  <c r="X86" i="48"/>
  <c r="U86" i="48"/>
  <c r="U66" i="48"/>
  <c r="Z34" i="48"/>
  <c r="AD34" i="48" s="1"/>
  <c r="X98" i="48"/>
  <c r="T34" i="48"/>
  <c r="X66" i="48"/>
  <c r="U98" i="48"/>
  <c r="W34" i="48"/>
  <c r="W64" i="48"/>
  <c r="T64" i="48"/>
  <c r="S32" i="48"/>
  <c r="Y32" i="48"/>
  <c r="AC32" i="48" s="1"/>
  <c r="V32" i="48"/>
  <c r="T96" i="48"/>
  <c r="W96" i="48"/>
  <c r="S28" i="48"/>
  <c r="Y28" i="48"/>
  <c r="AC28" i="48" s="1"/>
  <c r="T92" i="48"/>
  <c r="V28" i="48"/>
  <c r="W92" i="48"/>
  <c r="T60" i="48"/>
  <c r="W60" i="48"/>
  <c r="R33" i="39"/>
  <c r="V97" i="39"/>
  <c r="S65" i="39"/>
  <c r="V65" i="39"/>
  <c r="S97" i="39"/>
  <c r="X33" i="39"/>
  <c r="AB33" i="39" s="1"/>
  <c r="U33" i="39"/>
  <c r="R27" i="39"/>
  <c r="S91" i="39"/>
  <c r="V91" i="39"/>
  <c r="X27" i="39"/>
  <c r="AB27" i="39" s="1"/>
  <c r="V59" i="39"/>
  <c r="S59" i="39"/>
  <c r="U27" i="39"/>
  <c r="S51" i="39"/>
  <c r="S83" i="39"/>
  <c r="R19" i="39"/>
  <c r="X19" i="39"/>
  <c r="AB19" i="39" s="1"/>
  <c r="V51" i="39"/>
  <c r="V83" i="39"/>
  <c r="U19" i="39"/>
  <c r="U63" i="48"/>
  <c r="W31" i="48"/>
  <c r="T31" i="48"/>
  <c r="X95" i="48"/>
  <c r="X63" i="48"/>
  <c r="Z31" i="48"/>
  <c r="AD31" i="48" s="1"/>
  <c r="U95" i="48"/>
  <c r="W24" i="39"/>
  <c r="Z24" i="39"/>
  <c r="AD24" i="39" s="1"/>
  <c r="X88" i="39"/>
  <c r="T24" i="39"/>
  <c r="U56" i="39"/>
  <c r="X56" i="39"/>
  <c r="U88" i="39"/>
  <c r="W99" i="48"/>
  <c r="T99" i="48"/>
  <c r="S35" i="48"/>
  <c r="T67" i="48"/>
  <c r="V35" i="48"/>
  <c r="Y35" i="48"/>
  <c r="AC35" i="48" s="1"/>
  <c r="W67" i="48"/>
  <c r="S28" i="39"/>
  <c r="Y28" i="39"/>
  <c r="AC28" i="39" s="1"/>
  <c r="W60" i="39"/>
  <c r="V28" i="39"/>
  <c r="T60" i="39"/>
  <c r="T92" i="39"/>
  <c r="W92" i="39"/>
  <c r="Y19" i="48"/>
  <c r="AC19" i="48" s="1"/>
  <c r="W51" i="48"/>
  <c r="T51" i="48"/>
  <c r="T83" i="48"/>
  <c r="S19" i="48"/>
  <c r="V19" i="48"/>
  <c r="W83" i="48"/>
  <c r="V81" i="48"/>
  <c r="U17" i="48"/>
  <c r="V49" i="48"/>
  <c r="S49" i="48"/>
  <c r="S81" i="48"/>
  <c r="X17" i="48"/>
  <c r="AB17" i="48" s="1"/>
  <c r="R17" i="48"/>
  <c r="X34" i="39"/>
  <c r="AB34" i="39" s="1"/>
  <c r="S98" i="39"/>
  <c r="U34" i="39"/>
  <c r="S66" i="39"/>
  <c r="V98" i="39"/>
  <c r="R34" i="39"/>
  <c r="V66" i="39"/>
  <c r="X26" i="39"/>
  <c r="AB26" i="39" s="1"/>
  <c r="R26" i="39"/>
  <c r="S90" i="39"/>
  <c r="S58" i="39"/>
  <c r="U26" i="39"/>
  <c r="V90" i="39"/>
  <c r="V58" i="39"/>
  <c r="T67" i="39"/>
  <c r="T99" i="39"/>
  <c r="W67" i="39"/>
  <c r="Y35" i="39"/>
  <c r="AC35" i="39" s="1"/>
  <c r="W99" i="39"/>
  <c r="V35" i="39"/>
  <c r="S35" i="39"/>
  <c r="U34" i="48"/>
  <c r="R34" i="48"/>
  <c r="V66" i="48"/>
  <c r="V98" i="48"/>
  <c r="X34" i="48"/>
  <c r="AB34" i="48" s="1"/>
  <c r="S66" i="48"/>
  <c r="S98" i="48"/>
  <c r="S60" i="48"/>
  <c r="U28" i="48"/>
  <c r="R28" i="48"/>
  <c r="V60" i="48"/>
  <c r="X28" i="48"/>
  <c r="AB28" i="48" s="1"/>
  <c r="V92" i="48"/>
  <c r="S92" i="48"/>
  <c r="S84" i="48"/>
  <c r="U20" i="48"/>
  <c r="X20" i="48"/>
  <c r="AB20" i="48" s="1"/>
  <c r="S52" i="48"/>
  <c r="R20" i="48"/>
  <c r="V52" i="48"/>
  <c r="V84" i="48"/>
  <c r="W34" i="39"/>
  <c r="T34" i="39"/>
  <c r="U98" i="39"/>
  <c r="U66" i="39"/>
  <c r="X98" i="39"/>
  <c r="Z34" i="39"/>
  <c r="AD34" i="39" s="1"/>
  <c r="X66" i="39"/>
  <c r="T25" i="48"/>
  <c r="X57" i="48"/>
  <c r="Z25" i="48"/>
  <c r="AD25" i="48" s="1"/>
  <c r="X89" i="48"/>
  <c r="W25" i="48"/>
  <c r="U57" i="48"/>
  <c r="U89" i="48"/>
  <c r="Z18" i="39"/>
  <c r="AD18" i="39" s="1"/>
  <c r="T18" i="39"/>
  <c r="U82" i="39"/>
  <c r="X82" i="39"/>
  <c r="U50" i="39"/>
  <c r="W18" i="39"/>
  <c r="X50" i="39"/>
  <c r="T61" i="48"/>
  <c r="W61" i="48"/>
  <c r="V29" i="48"/>
  <c r="T93" i="48"/>
  <c r="W93" i="48"/>
  <c r="Y29" i="48"/>
  <c r="AC29" i="48" s="1"/>
  <c r="S29" i="48"/>
  <c r="W86" i="39"/>
  <c r="W54" i="39"/>
  <c r="T86" i="39"/>
  <c r="S22" i="39"/>
  <c r="V22" i="39"/>
  <c r="Y22" i="39"/>
  <c r="AC22" i="39" s="1"/>
  <c r="T54" i="39"/>
  <c r="R20" i="39"/>
  <c r="U20" i="39"/>
  <c r="V84" i="39"/>
  <c r="X20" i="39"/>
  <c r="AB20" i="39" s="1"/>
  <c r="V52" i="39"/>
  <c r="S52" i="39"/>
  <c r="S84" i="39"/>
  <c r="S99" i="48"/>
  <c r="S67" i="48"/>
  <c r="V67" i="48"/>
  <c r="U35" i="48"/>
  <c r="X35" i="48"/>
  <c r="AB35" i="48" s="1"/>
  <c r="V99" i="48"/>
  <c r="R35" i="48"/>
  <c r="X27" i="48"/>
  <c r="AB27" i="48" s="1"/>
  <c r="S91" i="48"/>
  <c r="V91" i="48"/>
  <c r="S59" i="48"/>
  <c r="V59" i="48"/>
  <c r="R27" i="48"/>
  <c r="U27" i="48"/>
  <c r="X63" i="39"/>
  <c r="U63" i="39"/>
  <c r="U95" i="39"/>
  <c r="Z31" i="39"/>
  <c r="AD31" i="39" s="1"/>
  <c r="X95" i="39"/>
  <c r="W31" i="39"/>
  <c r="T31" i="39"/>
  <c r="W27" i="39"/>
  <c r="X59" i="39"/>
  <c r="Z27" i="39"/>
  <c r="AD27" i="39" s="1"/>
  <c r="X91" i="39"/>
  <c r="T27" i="39"/>
  <c r="U59" i="39"/>
  <c r="U91" i="39"/>
  <c r="V36" i="48"/>
  <c r="W100" i="48"/>
  <c r="S36" i="48"/>
  <c r="T100" i="48"/>
  <c r="Y36" i="48"/>
  <c r="AC36" i="48" s="1"/>
  <c r="T68" i="48"/>
  <c r="W68" i="48"/>
  <c r="W93" i="39"/>
  <c r="Y29" i="39"/>
  <c r="AC29" i="39" s="1"/>
  <c r="V29" i="39"/>
  <c r="W61" i="39"/>
  <c r="T93" i="39"/>
  <c r="S29" i="39"/>
  <c r="T61" i="39"/>
  <c r="S25" i="39"/>
  <c r="Y25" i="39"/>
  <c r="AC25" i="39" s="1"/>
  <c r="W57" i="39"/>
  <c r="T89" i="39"/>
  <c r="T57" i="39"/>
  <c r="V25" i="39"/>
  <c r="W89" i="39"/>
  <c r="U17" i="39"/>
  <c r="X17" i="39"/>
  <c r="AB17" i="39" s="1"/>
  <c r="S49" i="39"/>
  <c r="S81" i="39"/>
  <c r="R17" i="39"/>
  <c r="V81" i="39"/>
  <c r="V49" i="39"/>
  <c r="R31" i="39"/>
  <c r="V95" i="39"/>
  <c r="U31" i="39"/>
  <c r="S63" i="39"/>
  <c r="S95" i="39"/>
  <c r="V63" i="39"/>
  <c r="X31" i="39"/>
  <c r="AB31" i="39" s="1"/>
  <c r="R25" i="39"/>
  <c r="S57" i="39"/>
  <c r="X25" i="39"/>
  <c r="AB25" i="39" s="1"/>
  <c r="S89" i="39"/>
  <c r="V89" i="39"/>
  <c r="U25" i="39"/>
  <c r="V57" i="39"/>
  <c r="X48" i="39"/>
  <c r="U48" i="39"/>
  <c r="T16" i="39"/>
  <c r="U80" i="39"/>
  <c r="X80" i="39"/>
  <c r="W16" i="39"/>
  <c r="Z16" i="39"/>
  <c r="AD16" i="39" s="1"/>
  <c r="W35" i="48"/>
  <c r="X99" i="48"/>
  <c r="X67" i="48"/>
  <c r="T35" i="48"/>
  <c r="U99" i="48"/>
  <c r="Z35" i="48"/>
  <c r="AD35" i="48" s="1"/>
  <c r="U67" i="48"/>
  <c r="Z19" i="48"/>
  <c r="AD19" i="48" s="1"/>
  <c r="W19" i="48"/>
  <c r="X83" i="48"/>
  <c r="T19" i="48"/>
  <c r="U83" i="48"/>
  <c r="X51" i="48"/>
  <c r="U51" i="48"/>
  <c r="T64" i="39"/>
  <c r="S32" i="39"/>
  <c r="W96" i="39"/>
  <c r="Y32" i="39"/>
  <c r="AC32" i="39" s="1"/>
  <c r="W64" i="39"/>
  <c r="V32" i="39"/>
  <c r="T96" i="39"/>
  <c r="V23" i="48"/>
  <c r="W87" i="48"/>
  <c r="W55" i="48"/>
  <c r="Y23" i="48"/>
  <c r="AC23" i="48" s="1"/>
  <c r="T87" i="48"/>
  <c r="S23" i="48"/>
  <c r="T55" i="48"/>
  <c r="S53" i="48"/>
  <c r="S85" i="48"/>
  <c r="V53" i="48"/>
  <c r="X21" i="48"/>
  <c r="AB21" i="48" s="1"/>
  <c r="R21" i="48"/>
  <c r="U21" i="48"/>
  <c r="V85" i="48"/>
  <c r="R32" i="39"/>
  <c r="S64" i="39"/>
  <c r="S96" i="39"/>
  <c r="V64" i="39"/>
  <c r="V96" i="39"/>
  <c r="U32" i="39"/>
  <c r="X32" i="39"/>
  <c r="AB32" i="39" s="1"/>
  <c r="X24" i="39"/>
  <c r="AB24" i="39" s="1"/>
  <c r="V56" i="39"/>
  <c r="U24" i="39"/>
  <c r="S56" i="39"/>
  <c r="V88" i="39"/>
  <c r="S88" i="39"/>
  <c r="R24" i="39"/>
  <c r="U64" i="48"/>
  <c r="U96" i="48"/>
  <c r="Z32" i="48"/>
  <c r="AD32" i="48" s="1"/>
  <c r="W32" i="48"/>
  <c r="T32" i="48"/>
  <c r="X64" i="48"/>
  <c r="X96" i="48"/>
  <c r="T28" i="48"/>
  <c r="X92" i="48"/>
  <c r="X60" i="48"/>
  <c r="Z28" i="48"/>
  <c r="AD28" i="48" s="1"/>
  <c r="W28" i="48"/>
  <c r="U60" i="48"/>
  <c r="U92" i="48"/>
  <c r="W51" i="39"/>
  <c r="T83" i="39"/>
  <c r="Y19" i="39"/>
  <c r="AC19" i="39" s="1"/>
  <c r="S19" i="39"/>
  <c r="V19" i="39"/>
  <c r="W83" i="39"/>
  <c r="T51" i="39"/>
  <c r="V30" i="48"/>
  <c r="T62" i="48"/>
  <c r="T94" i="48"/>
  <c r="W62" i="48"/>
  <c r="Y30" i="48"/>
  <c r="AC30" i="48" s="1"/>
  <c r="S30" i="48"/>
  <c r="W94" i="48"/>
  <c r="S26" i="48"/>
  <c r="W58" i="48"/>
  <c r="Y26" i="48"/>
  <c r="AC26" i="48" s="1"/>
  <c r="T58" i="48"/>
  <c r="T90" i="48"/>
  <c r="V26" i="48"/>
  <c r="W90" i="48"/>
  <c r="R18" i="48"/>
  <c r="V50" i="48"/>
  <c r="X18" i="48"/>
  <c r="AB18" i="48" s="1"/>
  <c r="U18" i="48"/>
  <c r="V82" i="48"/>
  <c r="S50" i="48"/>
  <c r="S82" i="48"/>
  <c r="V64" i="48"/>
  <c r="S64" i="48"/>
  <c r="V96" i="48"/>
  <c r="R32" i="48"/>
  <c r="U32" i="48"/>
  <c r="X32" i="48"/>
  <c r="AB32" i="48" s="1"/>
  <c r="S96" i="48"/>
  <c r="V90" i="48"/>
  <c r="X26" i="48"/>
  <c r="AB26" i="48" s="1"/>
  <c r="S58" i="48"/>
  <c r="V58" i="48"/>
  <c r="S90" i="48"/>
  <c r="U26" i="48"/>
  <c r="R26" i="48"/>
  <c r="Z17" i="48"/>
  <c r="AD17" i="48" s="1"/>
  <c r="U81" i="48"/>
  <c r="X49" i="48"/>
  <c r="X81" i="48"/>
  <c r="T17" i="48"/>
  <c r="W17" i="48"/>
  <c r="U49" i="48"/>
  <c r="Z28" i="39"/>
  <c r="AD28" i="39" s="1"/>
  <c r="U60" i="39"/>
  <c r="X60" i="39"/>
  <c r="U92" i="39"/>
  <c r="T28" i="39"/>
  <c r="W28" i="39"/>
  <c r="X92" i="39"/>
  <c r="U93" i="48"/>
  <c r="W29" i="48"/>
  <c r="T29" i="48"/>
  <c r="X93" i="48"/>
  <c r="Z29" i="48"/>
  <c r="AD29" i="48" s="1"/>
  <c r="X61" i="48"/>
  <c r="U61" i="48"/>
  <c r="U54" i="39"/>
  <c r="Z22" i="39"/>
  <c r="AD22" i="39" s="1"/>
  <c r="T22" i="39"/>
  <c r="W22" i="39"/>
  <c r="X86" i="39"/>
  <c r="U86" i="39"/>
  <c r="X54" i="39"/>
  <c r="T97" i="48"/>
  <c r="W65" i="48"/>
  <c r="T65" i="48"/>
  <c r="S33" i="48"/>
  <c r="V33" i="48"/>
  <c r="Y33" i="48"/>
  <c r="AC33" i="48" s="1"/>
  <c r="W97" i="48"/>
  <c r="W90" i="39"/>
  <c r="Y26" i="39"/>
  <c r="AC26" i="39" s="1"/>
  <c r="W58" i="39"/>
  <c r="S26" i="39"/>
  <c r="V26" i="39"/>
  <c r="T90" i="39"/>
  <c r="T58" i="39"/>
  <c r="W87" i="39"/>
  <c r="S23" i="39"/>
  <c r="V23" i="39"/>
  <c r="Y23" i="39"/>
  <c r="AC23" i="39" s="1"/>
  <c r="T55" i="39"/>
  <c r="T87" i="39"/>
  <c r="W55" i="39"/>
  <c r="U33" i="48"/>
  <c r="R33" i="48"/>
  <c r="S65" i="48"/>
  <c r="X33" i="48"/>
  <c r="AB33" i="48" s="1"/>
  <c r="S97" i="48"/>
  <c r="V97" i="48"/>
  <c r="V65" i="48"/>
  <c r="S57" i="48"/>
  <c r="S89" i="48"/>
  <c r="V57" i="48"/>
  <c r="R25" i="48"/>
  <c r="U25" i="48"/>
  <c r="X25" i="48"/>
  <c r="AB25" i="48" s="1"/>
  <c r="V89" i="48"/>
  <c r="T35" i="39"/>
  <c r="W35" i="39"/>
  <c r="Z35" i="39"/>
  <c r="AD35" i="39" s="1"/>
  <c r="U67" i="39"/>
  <c r="U99" i="39"/>
  <c r="X99" i="39"/>
  <c r="X67" i="39"/>
  <c r="T84" i="48"/>
  <c r="W84" i="48"/>
  <c r="Y20" i="48"/>
  <c r="AC20" i="48" s="1"/>
  <c r="V20" i="48"/>
  <c r="S20" i="48"/>
  <c r="T52" i="48"/>
  <c r="W52" i="48"/>
  <c r="T97" i="39"/>
  <c r="V33" i="39"/>
  <c r="W97" i="39"/>
  <c r="T65" i="39"/>
  <c r="S33" i="39"/>
  <c r="Y33" i="39"/>
  <c r="AC33" i="39" s="1"/>
  <c r="W65" i="39"/>
  <c r="X15" i="39"/>
  <c r="AB15" i="39" s="1"/>
  <c r="U15" i="39"/>
  <c r="V47" i="39"/>
  <c r="R15" i="39"/>
  <c r="V79" i="39"/>
  <c r="S47" i="39"/>
  <c r="S79" i="39"/>
  <c r="S93" i="39"/>
  <c r="R29" i="39"/>
  <c r="V93" i="39"/>
  <c r="X29" i="39"/>
  <c r="AB29" i="39" s="1"/>
  <c r="U29" i="39"/>
  <c r="V61" i="39"/>
  <c r="S61" i="39"/>
  <c r="U23" i="39"/>
  <c r="R23" i="39"/>
  <c r="S55" i="39"/>
  <c r="S87" i="39"/>
  <c r="V55" i="39"/>
  <c r="V87" i="39"/>
  <c r="X23" i="39"/>
  <c r="AB23" i="39" s="1"/>
  <c r="Z14" i="39"/>
  <c r="AD14" i="39" s="1"/>
  <c r="U46" i="39"/>
  <c r="W14" i="39"/>
  <c r="T14" i="39"/>
  <c r="X78" i="39"/>
  <c r="X46" i="39"/>
  <c r="U78" i="39"/>
  <c r="W15" i="48"/>
  <c r="Z15" i="48"/>
  <c r="AD15" i="48" s="1"/>
  <c r="U79" i="48"/>
  <c r="U47" i="48"/>
  <c r="X79" i="48"/>
  <c r="T15" i="48"/>
  <c r="X47" i="48"/>
  <c r="T78" i="39"/>
  <c r="T46" i="39"/>
  <c r="S14" i="39"/>
  <c r="V14" i="39"/>
  <c r="Y14" i="39"/>
  <c r="AC14" i="39" s="1"/>
  <c r="W78" i="39"/>
  <c r="W46" i="39"/>
  <c r="S46" i="39"/>
  <c r="V78" i="39"/>
  <c r="U14" i="39"/>
  <c r="X14" i="39"/>
  <c r="AB14" i="39" s="1"/>
  <c r="R14" i="39"/>
  <c r="S78" i="39"/>
  <c r="W79" i="48"/>
  <c r="W47" i="48"/>
  <c r="Y15" i="48"/>
  <c r="AC15" i="48" s="1"/>
  <c r="V15" i="48"/>
  <c r="T79" i="48"/>
  <c r="T47" i="48"/>
  <c r="S15" i="48"/>
  <c r="S47" i="48"/>
  <c r="R15" i="48"/>
  <c r="X15" i="48"/>
  <c r="AB15" i="48" s="1"/>
  <c r="V79" i="48"/>
  <c r="V47" i="48"/>
  <c r="U15" i="48"/>
  <c r="S79" i="48"/>
  <c r="K8" i="11"/>
  <c r="K7" i="11"/>
  <c r="AA40" i="48"/>
  <c r="E39" i="48"/>
  <c r="E38" i="39"/>
  <c r="AA39" i="39"/>
  <c r="E38" i="48"/>
  <c r="E37" i="39"/>
  <c r="T102" i="39"/>
  <c r="W102" i="39"/>
  <c r="T70" i="39"/>
  <c r="W70" i="39"/>
  <c r="V38" i="39"/>
  <c r="S38" i="39"/>
  <c r="Y38" i="39"/>
  <c r="AC38" i="39" s="1"/>
  <c r="F38" i="48"/>
  <c r="F37" i="39"/>
  <c r="V39" i="48"/>
  <c r="T103" i="48"/>
  <c r="Y39" i="48"/>
  <c r="AC39" i="48" s="1"/>
  <c r="T71" i="48"/>
  <c r="W103" i="48"/>
  <c r="W71" i="48"/>
  <c r="S39" i="48"/>
  <c r="I6" i="11"/>
  <c r="H14" i="11"/>
  <c r="J14" i="11" s="1"/>
  <c r="H12" i="11"/>
  <c r="J12" i="11" s="1"/>
  <c r="H13" i="11"/>
  <c r="J13" i="11" s="1"/>
  <c r="E33" i="19"/>
  <c r="G34" i="19"/>
  <c r="F34" i="19"/>
  <c r="E34" i="19"/>
  <c r="G33" i="19"/>
  <c r="F33" i="19"/>
  <c r="F35" i="19" s="1"/>
  <c r="F37" i="11" s="1"/>
  <c r="K37" i="11" s="1"/>
  <c r="J71" i="67" l="1"/>
  <c r="J72" i="67"/>
  <c r="I71" i="67"/>
  <c r="I72" i="67"/>
  <c r="H71" i="67"/>
  <c r="H72" i="67"/>
  <c r="I12" i="11"/>
  <c r="K12" i="11" s="1"/>
  <c r="AJ18" i="39"/>
  <c r="AJ34" i="48"/>
  <c r="AH23" i="48"/>
  <c r="AH31" i="39"/>
  <c r="AH21" i="48"/>
  <c r="AI25" i="39"/>
  <c r="AJ22" i="48"/>
  <c r="AH19" i="39"/>
  <c r="AJ33" i="48"/>
  <c r="AJ36" i="48"/>
  <c r="AJ34" i="39"/>
  <c r="AH19" i="48"/>
  <c r="AJ19" i="48"/>
  <c r="AI30" i="48"/>
  <c r="AJ16" i="39"/>
  <c r="AI16" i="48"/>
  <c r="AH18" i="39"/>
  <c r="AH33" i="48"/>
  <c r="AJ31" i="48"/>
  <c r="AJ20" i="39"/>
  <c r="AH24" i="39"/>
  <c r="AH20" i="48"/>
  <c r="AH37" i="48"/>
  <c r="AH16" i="39"/>
  <c r="AI31" i="39"/>
  <c r="AH30" i="48"/>
  <c r="AI18" i="39"/>
  <c r="AH15" i="39"/>
  <c r="AI20" i="48"/>
  <c r="AI26" i="48"/>
  <c r="AI33" i="48"/>
  <c r="AI21" i="48"/>
  <c r="AI36" i="39"/>
  <c r="AH27" i="39"/>
  <c r="AI25" i="48"/>
  <c r="AH22" i="48"/>
  <c r="AJ21" i="39"/>
  <c r="AI17" i="48"/>
  <c r="AJ23" i="48"/>
  <c r="AH34" i="39"/>
  <c r="AH20" i="39"/>
  <c r="AJ26" i="39"/>
  <c r="AJ28" i="48"/>
  <c r="AJ32" i="48"/>
  <c r="AH21" i="39"/>
  <c r="AI32" i="39"/>
  <c r="AJ29" i="48"/>
  <c r="AI29" i="39"/>
  <c r="AH35" i="48"/>
  <c r="AI19" i="48"/>
  <c r="AI28" i="39"/>
  <c r="AI18" i="48"/>
  <c r="AI17" i="39"/>
  <c r="AJ27" i="48"/>
  <c r="AH31" i="48"/>
  <c r="AJ35" i="39"/>
  <c r="AH27" i="48"/>
  <c r="AI27" i="48"/>
  <c r="AI24" i="48"/>
  <c r="AI35" i="48"/>
  <c r="AI22" i="48"/>
  <c r="AJ25" i="48"/>
  <c r="AI28" i="48"/>
  <c r="AH29" i="39"/>
  <c r="AI19" i="39"/>
  <c r="AH17" i="39"/>
  <c r="AH33" i="39"/>
  <c r="AI27" i="39"/>
  <c r="AI24" i="39"/>
  <c r="AI31" i="48"/>
  <c r="AJ36" i="39"/>
  <c r="AI15" i="39"/>
  <c r="AH16" i="48"/>
  <c r="AI20" i="39"/>
  <c r="AI14" i="39"/>
  <c r="AJ22" i="39"/>
  <c r="AH32" i="39"/>
  <c r="AJ27" i="39"/>
  <c r="AI35" i="39"/>
  <c r="AH26" i="39"/>
  <c r="AJ24" i="39"/>
  <c r="AH29" i="48"/>
  <c r="AH22" i="39"/>
  <c r="AH30" i="39"/>
  <c r="AH15" i="48"/>
  <c r="AH26" i="48"/>
  <c r="AH32" i="48"/>
  <c r="AH18" i="48"/>
  <c r="AH17" i="48"/>
  <c r="AJ21" i="48"/>
  <c r="AH28" i="39"/>
  <c r="AH35" i="39"/>
  <c r="AI30" i="39"/>
  <c r="AJ29" i="39"/>
  <c r="AI16" i="39"/>
  <c r="AJ32" i="39"/>
  <c r="AJ17" i="48"/>
  <c r="AJ35" i="48"/>
  <c r="AI36" i="48"/>
  <c r="AJ31" i="39"/>
  <c r="AI22" i="39"/>
  <c r="AJ30" i="48"/>
  <c r="AI37" i="48"/>
  <c r="AH24" i="48"/>
  <c r="AI23" i="48"/>
  <c r="AH23" i="39"/>
  <c r="AI33" i="39"/>
  <c r="AH25" i="48"/>
  <c r="AI23" i="39"/>
  <c r="AI26" i="39"/>
  <c r="AJ28" i="39"/>
  <c r="AH25" i="39"/>
  <c r="AI29" i="48"/>
  <c r="AH28" i="48"/>
  <c r="AH34" i="48"/>
  <c r="AI32" i="48"/>
  <c r="AI34" i="39"/>
  <c r="AJ30" i="39"/>
  <c r="AJ37" i="48"/>
  <c r="AH36" i="48"/>
  <c r="AJ33" i="39"/>
  <c r="AH36" i="39"/>
  <c r="AI21" i="39"/>
  <c r="AI34" i="48"/>
  <c r="AJ15" i="48"/>
  <c r="AH14" i="39"/>
  <c r="AI15" i="48"/>
  <c r="AJ14" i="39"/>
  <c r="I13" i="11"/>
  <c r="I14" i="11"/>
  <c r="AI39" i="48"/>
  <c r="AI38" i="39"/>
  <c r="S70" i="48"/>
  <c r="E40" i="48"/>
  <c r="R38" i="48"/>
  <c r="X38" i="48"/>
  <c r="U38" i="48"/>
  <c r="S102" i="48"/>
  <c r="V70" i="48"/>
  <c r="V102" i="48"/>
  <c r="S37" i="39"/>
  <c r="S39" i="39" s="1"/>
  <c r="T101" i="39"/>
  <c r="T103" i="39" s="1"/>
  <c r="F39" i="39"/>
  <c r="W101" i="39"/>
  <c r="W103" i="39" s="1"/>
  <c r="V37" i="39"/>
  <c r="W69" i="39"/>
  <c r="W71" i="39" s="1"/>
  <c r="Y37" i="39"/>
  <c r="T69" i="39"/>
  <c r="T71" i="39" s="1"/>
  <c r="S38" i="48"/>
  <c r="S40" i="48" s="1"/>
  <c r="V38" i="48"/>
  <c r="T70" i="48"/>
  <c r="T72" i="48" s="1"/>
  <c r="F40" i="48"/>
  <c r="Y38" i="48"/>
  <c r="T102" i="48"/>
  <c r="T104" i="48" s="1"/>
  <c r="W102" i="48"/>
  <c r="W104" i="48" s="1"/>
  <c r="W70" i="48"/>
  <c r="W72" i="48" s="1"/>
  <c r="V102" i="39"/>
  <c r="R38" i="39"/>
  <c r="V70" i="39"/>
  <c r="S102" i="39"/>
  <c r="S70" i="39"/>
  <c r="U38" i="39"/>
  <c r="X38" i="39"/>
  <c r="AB38" i="39" s="1"/>
  <c r="R37" i="39"/>
  <c r="S69" i="39"/>
  <c r="S101" i="39"/>
  <c r="V69" i="39"/>
  <c r="V101" i="39"/>
  <c r="X37" i="39"/>
  <c r="E39" i="39"/>
  <c r="U37" i="39"/>
  <c r="V103" i="48"/>
  <c r="S71" i="48"/>
  <c r="U39" i="48"/>
  <c r="R39" i="48"/>
  <c r="X39" i="48"/>
  <c r="AB39" i="48" s="1"/>
  <c r="S103" i="48"/>
  <c r="V71" i="48"/>
  <c r="G35" i="19"/>
  <c r="F38" i="11" s="1"/>
  <c r="K38" i="11" s="1"/>
  <c r="E30" i="24"/>
  <c r="D8" i="67" s="1"/>
  <c r="I8" i="67" l="1"/>
  <c r="I75" i="67" s="1"/>
  <c r="D36" i="67"/>
  <c r="I36" i="67" s="1"/>
  <c r="D26" i="67"/>
  <c r="I26" i="67" s="1"/>
  <c r="K13" i="11"/>
  <c r="K14" i="11"/>
  <c r="V71" i="39"/>
  <c r="V103" i="39"/>
  <c r="S103" i="39"/>
  <c r="AH38" i="48"/>
  <c r="U40" i="48"/>
  <c r="AH39" i="48"/>
  <c r="AB38" i="48"/>
  <c r="AB40" i="48" s="1"/>
  <c r="X40" i="48"/>
  <c r="R40" i="48"/>
  <c r="AI38" i="48"/>
  <c r="AI40" i="48" s="1"/>
  <c r="D45" i="67" s="1"/>
  <c r="V40" i="48"/>
  <c r="S71" i="39"/>
  <c r="AH38" i="39"/>
  <c r="R39" i="39"/>
  <c r="S72" i="48"/>
  <c r="AH37" i="39"/>
  <c r="U39" i="39"/>
  <c r="Y39" i="39"/>
  <c r="AC37" i="39"/>
  <c r="AC39" i="39" s="1"/>
  <c r="V104" i="48"/>
  <c r="V72" i="48"/>
  <c r="X39" i="39"/>
  <c r="AB37" i="39"/>
  <c r="AB39" i="39" s="1"/>
  <c r="AC38" i="48"/>
  <c r="AC40" i="48" s="1"/>
  <c r="Y40" i="48"/>
  <c r="V39" i="39"/>
  <c r="AI37" i="39"/>
  <c r="AI39" i="39" s="1"/>
  <c r="D55" i="67" s="1"/>
  <c r="I55" i="67" s="1"/>
  <c r="S104" i="48"/>
  <c r="I45" i="67" l="1"/>
  <c r="AH39" i="39"/>
  <c r="C55" i="67" s="1"/>
  <c r="H55" i="67" s="1"/>
  <c r="AH40" i="48"/>
  <c r="C45" i="67" s="1"/>
  <c r="E11" i="29"/>
  <c r="D11" i="29"/>
  <c r="C11" i="29"/>
  <c r="H45" i="67" l="1"/>
  <c r="F78" i="4"/>
  <c r="F82" i="4"/>
  <c r="F84" i="4"/>
  <c r="F97" i="4"/>
  <c r="G38" i="48" l="1"/>
  <c r="G37" i="39"/>
  <c r="G24" i="48"/>
  <c r="G23" i="39"/>
  <c r="G39" i="48"/>
  <c r="G38" i="39"/>
  <c r="G26" i="48"/>
  <c r="G25" i="39"/>
  <c r="G20" i="48"/>
  <c r="G19" i="39"/>
  <c r="Z25" i="39" l="1"/>
  <c r="AD25" i="39" s="1"/>
  <c r="X57" i="39"/>
  <c r="U57" i="39"/>
  <c r="W25" i="39"/>
  <c r="X89" i="39"/>
  <c r="T25" i="39"/>
  <c r="U89" i="39"/>
  <c r="X58" i="48"/>
  <c r="W26" i="48"/>
  <c r="U90" i="48"/>
  <c r="U58" i="48"/>
  <c r="X90" i="48"/>
  <c r="Z26" i="48"/>
  <c r="AD26" i="48" s="1"/>
  <c r="T26" i="48"/>
  <c r="G39" i="39"/>
  <c r="T38" i="39"/>
  <c r="W38" i="39"/>
  <c r="U102" i="39"/>
  <c r="U70" i="39"/>
  <c r="X70" i="39"/>
  <c r="Z38" i="39"/>
  <c r="AD38" i="39" s="1"/>
  <c r="X102" i="39"/>
  <c r="G40" i="48"/>
  <c r="W39" i="48"/>
  <c r="Z39" i="48"/>
  <c r="AD39" i="48" s="1"/>
  <c r="X103" i="48"/>
  <c r="U71" i="48"/>
  <c r="T39" i="48"/>
  <c r="U103" i="48"/>
  <c r="X71" i="48"/>
  <c r="U51" i="39"/>
  <c r="X83" i="39"/>
  <c r="U83" i="39"/>
  <c r="Z19" i="39"/>
  <c r="W19" i="39"/>
  <c r="X51" i="39"/>
  <c r="T19" i="39"/>
  <c r="X87" i="39"/>
  <c r="W23" i="39"/>
  <c r="U55" i="39"/>
  <c r="U87" i="39"/>
  <c r="Z23" i="39"/>
  <c r="AD23" i="39" s="1"/>
  <c r="T23" i="39"/>
  <c r="X55" i="39"/>
  <c r="W24" i="48"/>
  <c r="U56" i="48"/>
  <c r="X56" i="48"/>
  <c r="Z24" i="48"/>
  <c r="AD24" i="48" s="1"/>
  <c r="U88" i="48"/>
  <c r="X88" i="48"/>
  <c r="T24" i="48"/>
  <c r="U101" i="39"/>
  <c r="X101" i="39"/>
  <c r="X69" i="39"/>
  <c r="U69" i="39"/>
  <c r="Z37" i="39"/>
  <c r="AD37" i="39" s="1"/>
  <c r="T37" i="39"/>
  <c r="W37" i="39"/>
  <c r="U84" i="48"/>
  <c r="X84" i="48"/>
  <c r="W20" i="48"/>
  <c r="T20" i="48"/>
  <c r="Z20" i="48"/>
  <c r="U52" i="48"/>
  <c r="X52" i="48"/>
  <c r="X102" i="48"/>
  <c r="W38" i="48"/>
  <c r="Z38" i="48"/>
  <c r="AD38" i="48" s="1"/>
  <c r="U70" i="48"/>
  <c r="X70" i="48"/>
  <c r="U102" i="48"/>
  <c r="T38" i="48"/>
  <c r="G27" i="11"/>
  <c r="J27" i="11" s="1"/>
  <c r="K27" i="11" s="1"/>
  <c r="G26" i="11"/>
  <c r="J26" i="11" s="1"/>
  <c r="AJ37" i="39" l="1"/>
  <c r="AJ24" i="48"/>
  <c r="AJ38" i="39"/>
  <c r="T39" i="39"/>
  <c r="AJ25" i="39"/>
  <c r="T40" i="48"/>
  <c r="W40" i="48"/>
  <c r="AJ39" i="48"/>
  <c r="AJ19" i="39"/>
  <c r="W39" i="39"/>
  <c r="X71" i="39"/>
  <c r="AD19" i="39"/>
  <c r="AD39" i="39" s="1"/>
  <c r="Z39" i="39"/>
  <c r="AJ38" i="48"/>
  <c r="U71" i="39"/>
  <c r="U103" i="39"/>
  <c r="AJ26" i="48"/>
  <c r="U104" i="48"/>
  <c r="AJ20" i="48"/>
  <c r="U72" i="48"/>
  <c r="X104" i="48"/>
  <c r="AJ23" i="39"/>
  <c r="X72" i="48"/>
  <c r="AD20" i="48"/>
  <c r="AD40" i="48" s="1"/>
  <c r="Z40" i="48"/>
  <c r="X103" i="39"/>
  <c r="G28" i="11"/>
  <c r="J28" i="11" s="1"/>
  <c r="K28" i="11" s="1"/>
  <c r="K26" i="11"/>
  <c r="J11" i="23"/>
  <c r="J12" i="23"/>
  <c r="J13" i="23"/>
  <c r="J14" i="23"/>
  <c r="J15" i="23"/>
  <c r="J16" i="23"/>
  <c r="J17" i="23"/>
  <c r="J18" i="23"/>
  <c r="J19" i="23"/>
  <c r="J20" i="23"/>
  <c r="J21" i="23"/>
  <c r="J22" i="23"/>
  <c r="J23" i="23"/>
  <c r="J24" i="23"/>
  <c r="J25" i="23"/>
  <c r="J26" i="23"/>
  <c r="J27" i="23"/>
  <c r="J28" i="23"/>
  <c r="J29" i="23"/>
  <c r="J31" i="23"/>
  <c r="J32" i="23"/>
  <c r="J33" i="23"/>
  <c r="J34" i="23"/>
  <c r="J35" i="23"/>
  <c r="J36" i="23"/>
  <c r="J37" i="23"/>
  <c r="J38" i="23"/>
  <c r="J39" i="23"/>
  <c r="J40" i="23"/>
  <c r="J41" i="23"/>
  <c r="J42" i="23"/>
  <c r="J43" i="23"/>
  <c r="J44" i="23"/>
  <c r="J45" i="23"/>
  <c r="J46" i="23"/>
  <c r="J47" i="23"/>
  <c r="J48" i="23"/>
  <c r="J49" i="23"/>
  <c r="J50" i="23"/>
  <c r="J10" i="23"/>
  <c r="AJ39" i="39" l="1"/>
  <c r="AJ40" i="48"/>
  <c r="E22" i="11"/>
  <c r="J22" i="11" s="1"/>
  <c r="E24" i="11"/>
  <c r="J24" i="11" s="1"/>
  <c r="E23" i="11"/>
  <c r="J23" i="11" s="1"/>
  <c r="H10" i="11"/>
  <c r="G10" i="11"/>
  <c r="J143" i="9"/>
  <c r="I143" i="9"/>
  <c r="H143" i="9"/>
  <c r="G143" i="9"/>
  <c r="F143" i="9"/>
  <c r="E143" i="9"/>
  <c r="J154" i="9"/>
  <c r="I154" i="9"/>
  <c r="H154" i="9"/>
  <c r="G154" i="9"/>
  <c r="F154" i="9"/>
  <c r="I90" i="9"/>
  <c r="H90" i="9"/>
  <c r="G90" i="9"/>
  <c r="F90" i="9"/>
  <c r="E90" i="9"/>
  <c r="D90" i="9"/>
  <c r="J89" i="9"/>
  <c r="D127" i="9" s="1"/>
  <c r="E127" i="9" s="1"/>
  <c r="J88" i="9"/>
  <c r="D126" i="9" s="1"/>
  <c r="E126" i="9" s="1"/>
  <c r="J87" i="9"/>
  <c r="J86" i="9"/>
  <c r="D125" i="9" s="1"/>
  <c r="E125" i="9" s="1"/>
  <c r="K130" i="9" s="1"/>
  <c r="K107" i="9" s="1"/>
  <c r="J85" i="9"/>
  <c r="D139" i="9" s="1"/>
  <c r="E139" i="9" s="1"/>
  <c r="J84" i="9"/>
  <c r="D150" i="9" s="1"/>
  <c r="AJ45" i="48" l="1"/>
  <c r="E45" i="67"/>
  <c r="AJ44" i="39"/>
  <c r="E55" i="67"/>
  <c r="J55" i="67" s="1"/>
  <c r="D140" i="9"/>
  <c r="E140" i="9" s="1"/>
  <c r="K145" i="9" s="1"/>
  <c r="K108" i="9" s="1"/>
  <c r="J10" i="11" s="1"/>
  <c r="D144" i="9"/>
  <c r="D106" i="9" s="1"/>
  <c r="K144" i="9"/>
  <c r="K106" i="9" s="1"/>
  <c r="K23" i="11"/>
  <c r="K24" i="11"/>
  <c r="K22" i="11"/>
  <c r="I145" i="9"/>
  <c r="I108" i="9" s="1"/>
  <c r="I115" i="9" s="1"/>
  <c r="G145" i="9"/>
  <c r="G108" i="9" s="1"/>
  <c r="G115" i="9" s="1"/>
  <c r="J144" i="9"/>
  <c r="J106" i="9" s="1"/>
  <c r="E144" i="9"/>
  <c r="E106" i="9" s="1"/>
  <c r="F144" i="9"/>
  <c r="F106" i="9" s="1"/>
  <c r="G144" i="9"/>
  <c r="G106" i="9" s="1"/>
  <c r="H144" i="9"/>
  <c r="H106" i="9" s="1"/>
  <c r="I144" i="9"/>
  <c r="I106" i="9" s="1"/>
  <c r="D149" i="9"/>
  <c r="D151" i="9" s="1"/>
  <c r="K155" i="9" s="1"/>
  <c r="K105" i="9" s="1"/>
  <c r="E145" i="9"/>
  <c r="E108" i="9" s="1"/>
  <c r="E115" i="9" s="1"/>
  <c r="J90" i="9"/>
  <c r="J145" i="9"/>
  <c r="J108" i="9" s="1"/>
  <c r="J115" i="9" s="1"/>
  <c r="D154" i="9"/>
  <c r="J131" i="9"/>
  <c r="J109" i="9" s="1"/>
  <c r="I131" i="9"/>
  <c r="I109" i="9" s="1"/>
  <c r="H131" i="9"/>
  <c r="H109" i="9" s="1"/>
  <c r="K131" i="9"/>
  <c r="K109" i="9" s="1"/>
  <c r="G131" i="9"/>
  <c r="G109" i="9" s="1"/>
  <c r="F131" i="9"/>
  <c r="F109" i="9" s="1"/>
  <c r="E131" i="9"/>
  <c r="E109" i="9" s="1"/>
  <c r="D131" i="9"/>
  <c r="D109" i="9" s="1"/>
  <c r="J132" i="9"/>
  <c r="J110" i="9" s="1"/>
  <c r="I132" i="9"/>
  <c r="I110" i="9" s="1"/>
  <c r="H132" i="9"/>
  <c r="H110" i="9" s="1"/>
  <c r="G132" i="9"/>
  <c r="G110" i="9" s="1"/>
  <c r="E132" i="9"/>
  <c r="E110" i="9" s="1"/>
  <c r="F132" i="9"/>
  <c r="F110" i="9" s="1"/>
  <c r="D132" i="9"/>
  <c r="D110" i="9" s="1"/>
  <c r="K132" i="9"/>
  <c r="K110" i="9" s="1"/>
  <c r="J130" i="9"/>
  <c r="J107" i="9" s="1"/>
  <c r="I130" i="9"/>
  <c r="I107" i="9" s="1"/>
  <c r="H130" i="9"/>
  <c r="H107" i="9" s="1"/>
  <c r="E130" i="9"/>
  <c r="E107" i="9" s="1"/>
  <c r="G130" i="9"/>
  <c r="G107" i="9" s="1"/>
  <c r="F130" i="9"/>
  <c r="F107" i="9" s="1"/>
  <c r="D130" i="9"/>
  <c r="D107" i="9" s="1"/>
  <c r="J45" i="67" l="1"/>
  <c r="F145" i="9"/>
  <c r="F108" i="9" s="1"/>
  <c r="F115" i="9" s="1"/>
  <c r="H145" i="9"/>
  <c r="H108" i="9" s="1"/>
  <c r="H115" i="9" s="1"/>
  <c r="K114" i="9"/>
  <c r="D145" i="9"/>
  <c r="D108" i="9" s="1"/>
  <c r="D115" i="9" s="1"/>
  <c r="K115" i="9"/>
  <c r="I7" i="49"/>
  <c r="I7" i="41"/>
  <c r="I155" i="9"/>
  <c r="I105" i="9" s="1"/>
  <c r="H155" i="9"/>
  <c r="H105" i="9" s="1"/>
  <c r="H114" i="9" s="1"/>
  <c r="J155" i="9"/>
  <c r="J105" i="9" s="1"/>
  <c r="F155" i="9"/>
  <c r="F105" i="9" s="1"/>
  <c r="G155" i="9"/>
  <c r="G105" i="9" s="1"/>
  <c r="E155" i="9"/>
  <c r="D155" i="9"/>
  <c r="M115" i="9" l="1"/>
  <c r="N115" i="9" s="1"/>
  <c r="E105" i="9"/>
  <c r="E114" i="9" s="1"/>
  <c r="D105" i="9"/>
  <c r="D114" i="9" s="1"/>
  <c r="H111" i="9"/>
  <c r="E111" i="9"/>
  <c r="G111" i="9"/>
  <c r="G114" i="9"/>
  <c r="F111" i="9"/>
  <c r="F114" i="9"/>
  <c r="J111" i="9"/>
  <c r="J114" i="9"/>
  <c r="K111" i="9"/>
  <c r="I111" i="9"/>
  <c r="I114" i="9"/>
  <c r="D111" i="9" l="1"/>
  <c r="M114" i="9"/>
  <c r="N114" i="9" s="1"/>
  <c r="E10" i="11" l="1"/>
  <c r="E7" i="49"/>
  <c r="H7" i="49" s="1"/>
  <c r="J7" i="49" s="1"/>
  <c r="E7" i="41"/>
  <c r="H7" i="41" s="1"/>
  <c r="J7" i="41" s="1"/>
  <c r="E9" i="26"/>
  <c r="D9" i="26"/>
  <c r="C9" i="26"/>
  <c r="E8" i="26"/>
  <c r="D8" i="26"/>
  <c r="C8" i="26"/>
  <c r="E7" i="26"/>
  <c r="D7" i="26"/>
  <c r="C7" i="26"/>
  <c r="J37" i="5"/>
  <c r="J36" i="5"/>
  <c r="R106" i="5" s="1"/>
  <c r="J35" i="5"/>
  <c r="J34" i="5"/>
  <c r="J33" i="5"/>
  <c r="J32" i="5"/>
  <c r="J31" i="5"/>
  <c r="J30" i="5"/>
  <c r="J29" i="5"/>
  <c r="J28" i="5"/>
  <c r="J27" i="5"/>
  <c r="J26" i="5"/>
  <c r="J25" i="5"/>
  <c r="J24" i="5"/>
  <c r="J23" i="5"/>
  <c r="J22" i="5"/>
  <c r="J21" i="5"/>
  <c r="J20" i="5"/>
  <c r="J19" i="5"/>
  <c r="R89" i="5" s="1"/>
  <c r="J18" i="5"/>
  <c r="J17" i="5"/>
  <c r="J16" i="5"/>
  <c r="J15" i="5"/>
  <c r="J14" i="5"/>
  <c r="J13" i="5"/>
  <c r="I37" i="5"/>
  <c r="I36" i="5"/>
  <c r="R73" i="5" s="1"/>
  <c r="I35" i="5"/>
  <c r="I34" i="5"/>
  <c r="I33" i="5"/>
  <c r="I32" i="5"/>
  <c r="I31" i="5"/>
  <c r="I30" i="5"/>
  <c r="I29" i="5"/>
  <c r="I28" i="5"/>
  <c r="I27" i="5"/>
  <c r="I26" i="5"/>
  <c r="I25" i="5"/>
  <c r="I24" i="5"/>
  <c r="I23" i="5"/>
  <c r="I22" i="5"/>
  <c r="I21" i="5"/>
  <c r="I20" i="5"/>
  <c r="I19" i="5"/>
  <c r="R56" i="5" s="1"/>
  <c r="I18" i="5"/>
  <c r="I17" i="5"/>
  <c r="I16" i="5"/>
  <c r="I15" i="5"/>
  <c r="I14" i="5"/>
  <c r="I13" i="5"/>
  <c r="K18" i="5"/>
  <c r="AD18" i="5" s="1"/>
  <c r="I10" i="11" l="1"/>
  <c r="F10" i="11"/>
  <c r="D10" i="26"/>
  <c r="C7" i="67" s="1"/>
  <c r="K10" i="11"/>
  <c r="E10" i="26"/>
  <c r="D7" i="67" s="1"/>
  <c r="C10" i="26"/>
  <c r="E7" i="67" s="1"/>
  <c r="E50" i="67" l="1"/>
  <c r="E60" i="67"/>
  <c r="J60" i="67" s="1"/>
  <c r="D60" i="67"/>
  <c r="I60" i="67" s="1"/>
  <c r="C60" i="67"/>
  <c r="H60" i="67" s="1"/>
  <c r="D50" i="67"/>
  <c r="C50" i="67"/>
  <c r="C37" i="67"/>
  <c r="H37" i="67" s="1"/>
  <c r="E37" i="67"/>
  <c r="J37" i="67" s="1"/>
  <c r="D37" i="67"/>
  <c r="I37" i="67" s="1"/>
  <c r="E9" i="67"/>
  <c r="C9" i="67"/>
  <c r="D9" i="67"/>
  <c r="J7" i="67"/>
  <c r="J74" i="67" s="1"/>
  <c r="E25" i="67"/>
  <c r="J25" i="67" s="1"/>
  <c r="E35" i="67"/>
  <c r="J35" i="67" s="1"/>
  <c r="I7" i="67"/>
  <c r="I74" i="67" s="1"/>
  <c r="D25" i="67"/>
  <c r="I25" i="67" s="1"/>
  <c r="D35" i="67"/>
  <c r="I35" i="67" s="1"/>
  <c r="H7" i="67"/>
  <c r="H74" i="67" s="1"/>
  <c r="C35" i="67"/>
  <c r="H35" i="67" s="1"/>
  <c r="C25" i="67"/>
  <c r="H25" i="67" s="1"/>
  <c r="E12" i="22"/>
  <c r="H12" i="22" s="1"/>
  <c r="AI44" i="39" s="1"/>
  <c r="E11" i="22"/>
  <c r="H11" i="22" s="1"/>
  <c r="AH44" i="39" s="1"/>
  <c r="D27" i="67" l="1"/>
  <c r="I27" i="67" s="1"/>
  <c r="I9" i="67"/>
  <c r="I76" i="67" s="1"/>
  <c r="H9" i="67"/>
  <c r="H76" i="67" s="1"/>
  <c r="C27" i="67"/>
  <c r="H27" i="67" s="1"/>
  <c r="E27" i="67"/>
  <c r="J27" i="67" s="1"/>
  <c r="J9" i="67"/>
  <c r="J76" i="67" s="1"/>
  <c r="H50" i="67"/>
  <c r="H51" i="67" s="1"/>
  <c r="C51" i="67"/>
  <c r="I50" i="67"/>
  <c r="I51" i="67" s="1"/>
  <c r="D51" i="67"/>
  <c r="J50" i="67"/>
  <c r="J51" i="67" s="1"/>
  <c r="E51" i="67"/>
  <c r="H58" i="67"/>
  <c r="H61" i="67" s="1"/>
  <c r="C61" i="67"/>
  <c r="I58" i="67"/>
  <c r="I61" i="67" s="1"/>
  <c r="D61" i="67"/>
  <c r="J58" i="67"/>
  <c r="J61" i="67" s="1"/>
  <c r="E61" i="67"/>
  <c r="AH45" i="48"/>
  <c r="AI45" i="48"/>
  <c r="K14" i="5"/>
  <c r="K15" i="5"/>
  <c r="AD15" i="5" s="1"/>
  <c r="K16" i="5"/>
  <c r="AD16" i="5" s="1"/>
  <c r="K17" i="5"/>
  <c r="AD17" i="5" s="1"/>
  <c r="K19" i="5"/>
  <c r="AD19" i="5" s="1"/>
  <c r="K20" i="5"/>
  <c r="AD20" i="5" s="1"/>
  <c r="K21" i="5"/>
  <c r="AD21" i="5" s="1"/>
  <c r="K22" i="5"/>
  <c r="K23" i="5"/>
  <c r="AD23" i="5" s="1"/>
  <c r="K24" i="5"/>
  <c r="AD24" i="5" s="1"/>
  <c r="K25" i="5"/>
  <c r="AD25" i="5" s="1"/>
  <c r="K26" i="5"/>
  <c r="AD26" i="5" s="1"/>
  <c r="K27" i="5"/>
  <c r="AD27" i="5" s="1"/>
  <c r="K28" i="5"/>
  <c r="AD28" i="5" s="1"/>
  <c r="K29" i="5"/>
  <c r="AD29" i="5" s="1"/>
  <c r="K30" i="5"/>
  <c r="AD30" i="5" s="1"/>
  <c r="K31" i="5"/>
  <c r="AD31" i="5" s="1"/>
  <c r="K32" i="5"/>
  <c r="AD32" i="5" s="1"/>
  <c r="K33" i="5"/>
  <c r="AD33" i="5" s="1"/>
  <c r="K34" i="5"/>
  <c r="AD34" i="5" s="1"/>
  <c r="K35" i="5"/>
  <c r="AD35" i="5" s="1"/>
  <c r="K36" i="5"/>
  <c r="AD36" i="5" s="1"/>
  <c r="K37" i="5"/>
  <c r="AD37" i="5" s="1"/>
  <c r="K13" i="5"/>
  <c r="AD13" i="5" s="1"/>
  <c r="H14" i="5"/>
  <c r="H15" i="5"/>
  <c r="H16" i="5"/>
  <c r="H17" i="5"/>
  <c r="H18" i="5"/>
  <c r="H19" i="5"/>
  <c r="H20" i="5"/>
  <c r="H21" i="5"/>
  <c r="H22" i="5"/>
  <c r="H23" i="5"/>
  <c r="H24" i="5"/>
  <c r="H26" i="5"/>
  <c r="H27" i="5"/>
  <c r="H28" i="5"/>
  <c r="H29" i="5"/>
  <c r="H30" i="5"/>
  <c r="H31" i="5"/>
  <c r="H32" i="5"/>
  <c r="H33" i="5"/>
  <c r="H34" i="5"/>
  <c r="H35" i="5"/>
  <c r="H36" i="5"/>
  <c r="H37" i="5"/>
  <c r="H13" i="5"/>
  <c r="N15" i="5"/>
  <c r="N16" i="5"/>
  <c r="N17" i="5"/>
  <c r="N18" i="5"/>
  <c r="N19" i="5"/>
  <c r="N20" i="5"/>
  <c r="N21" i="5"/>
  <c r="N22" i="5"/>
  <c r="N23" i="5"/>
  <c r="N24" i="5"/>
  <c r="N25" i="5"/>
  <c r="N26" i="5"/>
  <c r="N27" i="5"/>
  <c r="N28" i="5"/>
  <c r="N29" i="5"/>
  <c r="N30" i="5"/>
  <c r="N31" i="5"/>
  <c r="N32" i="5"/>
  <c r="N33" i="5"/>
  <c r="N34" i="5"/>
  <c r="N35" i="5"/>
  <c r="N36" i="5"/>
  <c r="N37" i="5"/>
  <c r="N13" i="5"/>
  <c r="M14" i="5"/>
  <c r="M15" i="5"/>
  <c r="M16" i="5"/>
  <c r="M17" i="5"/>
  <c r="M18" i="5"/>
  <c r="M19" i="5"/>
  <c r="M20" i="5"/>
  <c r="M21" i="5"/>
  <c r="M22" i="5"/>
  <c r="M23" i="5"/>
  <c r="M24" i="5"/>
  <c r="M25" i="5"/>
  <c r="M26" i="5"/>
  <c r="M27" i="5"/>
  <c r="M28" i="5"/>
  <c r="M29" i="5"/>
  <c r="M30" i="5"/>
  <c r="M31" i="5"/>
  <c r="M32" i="5"/>
  <c r="M33" i="5"/>
  <c r="M34" i="5"/>
  <c r="M35" i="5"/>
  <c r="M36" i="5"/>
  <c r="M37" i="5"/>
  <c r="M13" i="5"/>
  <c r="L14" i="5"/>
  <c r="L15" i="5"/>
  <c r="L16" i="5"/>
  <c r="AJ16" i="5" s="1"/>
  <c r="L17" i="5"/>
  <c r="L18" i="5"/>
  <c r="AJ18" i="5" s="1"/>
  <c r="L19" i="5"/>
  <c r="L20" i="5"/>
  <c r="AJ20" i="5" s="1"/>
  <c r="L21" i="5"/>
  <c r="L22" i="5"/>
  <c r="L23" i="5"/>
  <c r="L24" i="5"/>
  <c r="L25" i="5"/>
  <c r="L26" i="5"/>
  <c r="L27" i="5"/>
  <c r="L28" i="5"/>
  <c r="AH28" i="5" s="1"/>
  <c r="L29" i="5"/>
  <c r="L30" i="5"/>
  <c r="L31" i="5"/>
  <c r="L32" i="5"/>
  <c r="L33" i="5"/>
  <c r="L34" i="5"/>
  <c r="AH34" i="5" s="1"/>
  <c r="L35" i="5"/>
  <c r="L36" i="5"/>
  <c r="L37" i="5"/>
  <c r="L13" i="5"/>
  <c r="AD14" i="5" l="1"/>
  <c r="X73" i="5"/>
  <c r="X106" i="5"/>
  <c r="X36" i="5"/>
  <c r="X89" i="5"/>
  <c r="X56" i="5"/>
  <c r="H38" i="5"/>
  <c r="AD22" i="5"/>
  <c r="AD38" i="5" s="1"/>
  <c r="AJ13" i="5"/>
  <c r="AH13" i="5"/>
  <c r="AI34" i="5"/>
  <c r="AJ34" i="5"/>
  <c r="AI33" i="5"/>
  <c r="AH33" i="5"/>
  <c r="AJ33" i="5"/>
  <c r="AI25" i="5"/>
  <c r="AJ25" i="5"/>
  <c r="AH25" i="5"/>
  <c r="AI17" i="5"/>
  <c r="AJ17" i="5"/>
  <c r="AH17" i="5"/>
  <c r="AI35" i="5"/>
  <c r="AJ35" i="5"/>
  <c r="AH35" i="5"/>
  <c r="AH32" i="5"/>
  <c r="AJ32" i="5"/>
  <c r="AI32" i="5"/>
  <c r="AH24" i="5"/>
  <c r="AJ24" i="5"/>
  <c r="AI24" i="5"/>
  <c r="AH16" i="5"/>
  <c r="AI16" i="5"/>
  <c r="AJ27" i="5"/>
  <c r="AI27" i="5"/>
  <c r="AH27" i="5"/>
  <c r="AI31" i="5"/>
  <c r="AJ31" i="5"/>
  <c r="AH31" i="5"/>
  <c r="AI23" i="5"/>
  <c r="AH23" i="5"/>
  <c r="AJ23" i="5"/>
  <c r="AI15" i="5"/>
  <c r="AH15" i="5"/>
  <c r="AJ15" i="5"/>
  <c r="AH18" i="5"/>
  <c r="AI18" i="5"/>
  <c r="AI13" i="5"/>
  <c r="AH30" i="5"/>
  <c r="AI30" i="5"/>
  <c r="AJ30" i="5"/>
  <c r="AH22" i="5"/>
  <c r="AI22" i="5"/>
  <c r="AJ22" i="5"/>
  <c r="AH14" i="5"/>
  <c r="AI14" i="5"/>
  <c r="AJ14" i="5"/>
  <c r="AH26" i="5"/>
  <c r="AI26" i="5"/>
  <c r="AJ26" i="5"/>
  <c r="AJ37" i="5"/>
  <c r="AI37" i="5"/>
  <c r="AH37" i="5"/>
  <c r="AJ29" i="5"/>
  <c r="AI29" i="5"/>
  <c r="AH29" i="5"/>
  <c r="AI21" i="5"/>
  <c r="AH21" i="5"/>
  <c r="AJ21" i="5"/>
  <c r="AJ19" i="5"/>
  <c r="AI19" i="5"/>
  <c r="AH19" i="5"/>
  <c r="AH36" i="5"/>
  <c r="AI36" i="5"/>
  <c r="AJ36" i="5"/>
  <c r="AJ28" i="5"/>
  <c r="AI28" i="5"/>
  <c r="AH20" i="5"/>
  <c r="AI20" i="5"/>
  <c r="G35" i="5"/>
  <c r="Z72" i="5" s="1"/>
  <c r="G34" i="5"/>
  <c r="G33" i="5"/>
  <c r="G32" i="5"/>
  <c r="G31" i="5"/>
  <c r="Z68" i="5" s="1"/>
  <c r="G27" i="5"/>
  <c r="Z64" i="5" s="1"/>
  <c r="G26" i="5"/>
  <c r="Z96" i="5" s="1"/>
  <c r="G25" i="5"/>
  <c r="Z95" i="5" s="1"/>
  <c r="G20" i="5"/>
  <c r="Z90" i="5" s="1"/>
  <c r="G19" i="5"/>
  <c r="Z89" i="5" s="1"/>
  <c r="G17" i="5"/>
  <c r="G16" i="5"/>
  <c r="F35" i="5"/>
  <c r="Y105" i="5" s="1"/>
  <c r="E35" i="5"/>
  <c r="X105" i="5" s="1"/>
  <c r="F34" i="5"/>
  <c r="E34" i="5"/>
  <c r="X71" i="5" s="1"/>
  <c r="F33" i="5"/>
  <c r="E33" i="5"/>
  <c r="X70" i="5" s="1"/>
  <c r="F32" i="5"/>
  <c r="Y69" i="5" s="1"/>
  <c r="E32" i="5"/>
  <c r="X69" i="5" s="1"/>
  <c r="F31" i="5"/>
  <c r="Y68" i="5" s="1"/>
  <c r="E31" i="5"/>
  <c r="X101" i="5" s="1"/>
  <c r="F27" i="5"/>
  <c r="Y64" i="5" s="1"/>
  <c r="E27" i="5"/>
  <c r="X64" i="5" s="1"/>
  <c r="F26" i="5"/>
  <c r="E26" i="5"/>
  <c r="F25" i="5"/>
  <c r="Y62" i="5" s="1"/>
  <c r="E25" i="5"/>
  <c r="X95" i="5" s="1"/>
  <c r="F20" i="5"/>
  <c r="E20" i="5"/>
  <c r="X57" i="5" s="1"/>
  <c r="F19" i="5"/>
  <c r="Y89" i="5" s="1"/>
  <c r="F17" i="5"/>
  <c r="Y54" i="5" s="1"/>
  <c r="E17" i="5"/>
  <c r="X54" i="5" s="1"/>
  <c r="F16" i="5"/>
  <c r="E16" i="5"/>
  <c r="X86" i="5" s="1"/>
  <c r="G37" i="5"/>
  <c r="F36" i="5"/>
  <c r="F30" i="5"/>
  <c r="Y100" i="5" s="1"/>
  <c r="E29" i="5"/>
  <c r="X66" i="5" s="1"/>
  <c r="F28" i="5"/>
  <c r="Y65" i="5" s="1"/>
  <c r="F23" i="5"/>
  <c r="Y60" i="5" s="1"/>
  <c r="F22" i="5"/>
  <c r="Y59" i="5" s="1"/>
  <c r="E21" i="5"/>
  <c r="X91" i="5" s="1"/>
  <c r="F15" i="5"/>
  <c r="Y85" i="5" s="1"/>
  <c r="E14" i="5"/>
  <c r="E13" i="5"/>
  <c r="X50" i="5" s="1"/>
  <c r="X83" i="5" l="1"/>
  <c r="Z97" i="5"/>
  <c r="X72" i="5"/>
  <c r="X68" i="5"/>
  <c r="X104" i="5"/>
  <c r="T102" i="5"/>
  <c r="T69" i="5"/>
  <c r="X62" i="5"/>
  <c r="R66" i="5"/>
  <c r="R99" i="5"/>
  <c r="S95" i="5"/>
  <c r="S62" i="5"/>
  <c r="S71" i="5"/>
  <c r="S104" i="5"/>
  <c r="T70" i="5"/>
  <c r="T103" i="5"/>
  <c r="Y97" i="5"/>
  <c r="X58" i="5"/>
  <c r="Y104" i="5"/>
  <c r="R104" i="5"/>
  <c r="R71" i="5"/>
  <c r="R96" i="5"/>
  <c r="R63" i="5"/>
  <c r="R72" i="5"/>
  <c r="R105" i="5"/>
  <c r="T71" i="5"/>
  <c r="T104" i="5"/>
  <c r="Y95" i="5"/>
  <c r="Y93" i="5"/>
  <c r="Z71" i="5"/>
  <c r="S63" i="5"/>
  <c r="S96" i="5"/>
  <c r="S105" i="5"/>
  <c r="S72" i="5"/>
  <c r="T105" i="5"/>
  <c r="T72" i="5"/>
  <c r="Y72" i="5"/>
  <c r="X99" i="5"/>
  <c r="Y71" i="5"/>
  <c r="S90" i="5"/>
  <c r="S57" i="5"/>
  <c r="T74" i="5"/>
  <c r="T107" i="5"/>
  <c r="R97" i="5"/>
  <c r="R64" i="5"/>
  <c r="T86" i="5"/>
  <c r="T53" i="5"/>
  <c r="Z63" i="5"/>
  <c r="Y90" i="5"/>
  <c r="Z104" i="5"/>
  <c r="S70" i="5"/>
  <c r="S103" i="5"/>
  <c r="S106" i="5"/>
  <c r="S73" i="5"/>
  <c r="R86" i="5"/>
  <c r="R53" i="5"/>
  <c r="S64" i="5"/>
  <c r="S97" i="5"/>
  <c r="T17" i="5"/>
  <c r="W17" i="5" s="1"/>
  <c r="T54" i="5"/>
  <c r="T87" i="5"/>
  <c r="Y96" i="5"/>
  <c r="Z86" i="5"/>
  <c r="Z54" i="5"/>
  <c r="Z69" i="5"/>
  <c r="Z70" i="5"/>
  <c r="T101" i="5"/>
  <c r="T68" i="5"/>
  <c r="S98" i="5"/>
  <c r="S65" i="5"/>
  <c r="R50" i="5"/>
  <c r="R83" i="5"/>
  <c r="R13" i="5"/>
  <c r="U13" i="5" s="1"/>
  <c r="S86" i="5"/>
  <c r="S53" i="5"/>
  <c r="R101" i="5"/>
  <c r="R68" i="5"/>
  <c r="T89" i="5"/>
  <c r="T56" i="5"/>
  <c r="Z53" i="5"/>
  <c r="Y67" i="5"/>
  <c r="X90" i="5"/>
  <c r="Z102" i="5"/>
  <c r="Y106" i="5"/>
  <c r="Y70" i="5"/>
  <c r="S93" i="5"/>
  <c r="S60" i="5"/>
  <c r="R84" i="5"/>
  <c r="R51" i="5"/>
  <c r="R54" i="5"/>
  <c r="R87" i="5"/>
  <c r="S101" i="5"/>
  <c r="S68" i="5"/>
  <c r="T90" i="5"/>
  <c r="T57" i="5"/>
  <c r="Y63" i="5"/>
  <c r="Y53" i="5"/>
  <c r="Z87" i="5"/>
  <c r="Z74" i="5"/>
  <c r="S67" i="5"/>
  <c r="S100" i="5"/>
  <c r="S85" i="5"/>
  <c r="S52" i="5"/>
  <c r="S54" i="5"/>
  <c r="S87" i="5"/>
  <c r="R69" i="5"/>
  <c r="R102" i="5"/>
  <c r="T95" i="5"/>
  <c r="T62" i="5"/>
  <c r="X96" i="5"/>
  <c r="X51" i="5"/>
  <c r="X53" i="5"/>
  <c r="Y87" i="5"/>
  <c r="Z57" i="5"/>
  <c r="Z56" i="5"/>
  <c r="X102" i="5"/>
  <c r="Y73" i="5"/>
  <c r="Z103" i="5"/>
  <c r="Z107" i="5"/>
  <c r="Z101" i="5"/>
  <c r="R62" i="5"/>
  <c r="R95" i="5"/>
  <c r="R91" i="5"/>
  <c r="R58" i="5"/>
  <c r="S89" i="5"/>
  <c r="S56" i="5"/>
  <c r="S102" i="5"/>
  <c r="S69" i="5"/>
  <c r="T63" i="5"/>
  <c r="T96" i="5"/>
  <c r="X63" i="5"/>
  <c r="Y52" i="5"/>
  <c r="X84" i="5"/>
  <c r="Y86" i="5"/>
  <c r="X87" i="5"/>
  <c r="Y57" i="5"/>
  <c r="Y56" i="5"/>
  <c r="Y102" i="5"/>
  <c r="Y103" i="5"/>
  <c r="S59" i="5"/>
  <c r="S92" i="5"/>
  <c r="R90" i="5"/>
  <c r="R57" i="5"/>
  <c r="R70" i="5"/>
  <c r="R103" i="5"/>
  <c r="T64" i="5"/>
  <c r="T97" i="5"/>
  <c r="X97" i="5"/>
  <c r="Y98" i="5"/>
  <c r="Z105" i="5"/>
  <c r="Y101" i="5"/>
  <c r="Z62" i="5"/>
  <c r="X103" i="5"/>
  <c r="Y92" i="5"/>
  <c r="AA13" i="5"/>
  <c r="AE13" i="5" s="1"/>
  <c r="X13" i="5"/>
  <c r="X29" i="5"/>
  <c r="X25" i="5"/>
  <c r="Y19" i="5"/>
  <c r="Z27" i="5"/>
  <c r="Y33" i="5"/>
  <c r="Y28" i="5"/>
  <c r="Y20" i="5"/>
  <c r="Z31" i="5"/>
  <c r="X16" i="5"/>
  <c r="X32" i="5"/>
  <c r="Y31" i="5"/>
  <c r="X26" i="5"/>
  <c r="X14" i="5"/>
  <c r="X20" i="5"/>
  <c r="Y35" i="5"/>
  <c r="T34" i="5"/>
  <c r="W34" i="5" s="1"/>
  <c r="X34" i="5"/>
  <c r="S15" i="5"/>
  <c r="V15" i="5" s="1"/>
  <c r="S30" i="5"/>
  <c r="V30" i="5" s="1"/>
  <c r="S17" i="5"/>
  <c r="V17" i="5" s="1"/>
  <c r="R31" i="5"/>
  <c r="U31" i="5" s="1"/>
  <c r="S33" i="5"/>
  <c r="V33" i="5" s="1"/>
  <c r="T33" i="5"/>
  <c r="W33" i="5" s="1"/>
  <c r="Y15" i="5"/>
  <c r="Y23" i="5"/>
  <c r="Y27" i="5"/>
  <c r="S36" i="5"/>
  <c r="V36" i="5" s="1"/>
  <c r="T37" i="5"/>
  <c r="W37" i="5" s="1"/>
  <c r="R26" i="5"/>
  <c r="U26" i="5" s="1"/>
  <c r="S31" i="5"/>
  <c r="V31" i="5" s="1"/>
  <c r="T20" i="5"/>
  <c r="W20" i="5" s="1"/>
  <c r="T35" i="5"/>
  <c r="W35" i="5" s="1"/>
  <c r="Y17" i="5"/>
  <c r="Y25" i="5"/>
  <c r="R34" i="5"/>
  <c r="U34" i="5" s="1"/>
  <c r="S22" i="5"/>
  <c r="V22" i="5" s="1"/>
  <c r="S19" i="5"/>
  <c r="V19" i="5" s="1"/>
  <c r="R32" i="5"/>
  <c r="U32" i="5" s="1"/>
  <c r="S34" i="5"/>
  <c r="V34" i="5" s="1"/>
  <c r="T25" i="5"/>
  <c r="W25" i="5" s="1"/>
  <c r="Z37" i="5"/>
  <c r="T19" i="5"/>
  <c r="W19" i="5" s="1"/>
  <c r="R21" i="5"/>
  <c r="U21" i="5" s="1"/>
  <c r="S23" i="5"/>
  <c r="V23" i="5" s="1"/>
  <c r="R20" i="5"/>
  <c r="U20" i="5" s="1"/>
  <c r="S26" i="5"/>
  <c r="V26" i="5" s="1"/>
  <c r="R35" i="5"/>
  <c r="U35" i="5" s="1"/>
  <c r="T26" i="5"/>
  <c r="W26" i="5" s="1"/>
  <c r="Y36" i="5"/>
  <c r="Z17" i="5"/>
  <c r="Z25" i="5"/>
  <c r="Z33" i="5"/>
  <c r="Y34" i="5"/>
  <c r="Z19" i="5"/>
  <c r="Z35" i="5"/>
  <c r="R19" i="5"/>
  <c r="U19" i="5" s="1"/>
  <c r="R16" i="5"/>
  <c r="U16" i="5" s="1"/>
  <c r="S16" i="5"/>
  <c r="V16" i="5" s="1"/>
  <c r="R27" i="5"/>
  <c r="U27" i="5" s="1"/>
  <c r="S32" i="5"/>
  <c r="V32" i="5" s="1"/>
  <c r="T27" i="5"/>
  <c r="W27" i="5" s="1"/>
  <c r="Y22" i="5"/>
  <c r="Y30" i="5"/>
  <c r="Y16" i="5"/>
  <c r="Y32" i="5"/>
  <c r="Y26" i="5"/>
  <c r="S28" i="5"/>
  <c r="V28" i="5" s="1"/>
  <c r="R17" i="5"/>
  <c r="U17" i="5" s="1"/>
  <c r="S20" i="5"/>
  <c r="V20" i="5" s="1"/>
  <c r="R33" i="5"/>
  <c r="U33" i="5" s="1"/>
  <c r="S35" i="5"/>
  <c r="V35" i="5" s="1"/>
  <c r="T31" i="5"/>
  <c r="W31" i="5" s="1"/>
  <c r="X21" i="5"/>
  <c r="X31" i="5"/>
  <c r="X17" i="5"/>
  <c r="X33" i="5"/>
  <c r="X19" i="5"/>
  <c r="X27" i="5"/>
  <c r="X35" i="5"/>
  <c r="S25" i="5"/>
  <c r="V25" i="5" s="1"/>
  <c r="R14" i="5"/>
  <c r="U14" i="5" s="1"/>
  <c r="R29" i="5"/>
  <c r="U29" i="5" s="1"/>
  <c r="R25" i="5"/>
  <c r="U25" i="5" s="1"/>
  <c r="S27" i="5"/>
  <c r="V27" i="5" s="1"/>
  <c r="T16" i="5"/>
  <c r="W16" i="5" s="1"/>
  <c r="T32" i="5"/>
  <c r="W32" i="5" s="1"/>
  <c r="Z20" i="5"/>
  <c r="Z16" i="5"/>
  <c r="Z32" i="5"/>
  <c r="Z26" i="5"/>
  <c r="Z34" i="5"/>
  <c r="AA20" i="5"/>
  <c r="AE20" i="5" s="1"/>
  <c r="AB32" i="5"/>
  <c r="AF32" i="5" s="1"/>
  <c r="AA14" i="5"/>
  <c r="AE14" i="5" s="1"/>
  <c r="AB23" i="5"/>
  <c r="AF23" i="5" s="1"/>
  <c r="AC27" i="5"/>
  <c r="AG27" i="5" s="1"/>
  <c r="AC25" i="5"/>
  <c r="AG25" i="5" s="1"/>
  <c r="AH38" i="5"/>
  <c r="AB27" i="5"/>
  <c r="AF27" i="5" s="1"/>
  <c r="AB25" i="5"/>
  <c r="AF25" i="5" s="1"/>
  <c r="AB34" i="5"/>
  <c r="AF34" i="5" s="1"/>
  <c r="AA27" i="5"/>
  <c r="AE27" i="5" s="1"/>
  <c r="AB20" i="5"/>
  <c r="AF20" i="5" s="1"/>
  <c r="AI38" i="5"/>
  <c r="AA29" i="5"/>
  <c r="AE29" i="5" s="1"/>
  <c r="AA25" i="5"/>
  <c r="AE25" i="5" s="1"/>
  <c r="AC34" i="5"/>
  <c r="AG34" i="5" s="1"/>
  <c r="AC20" i="5"/>
  <c r="AG20" i="5" s="1"/>
  <c r="AB36" i="5"/>
  <c r="AF36" i="5" s="1"/>
  <c r="AJ38" i="5"/>
  <c r="AB30" i="5"/>
  <c r="AF30" i="5" s="1"/>
  <c r="AA26" i="5"/>
  <c r="AE26" i="5" s="1"/>
  <c r="AC19" i="5"/>
  <c r="AG19" i="5" s="1"/>
  <c r="AB35" i="5"/>
  <c r="AF35" i="5" s="1"/>
  <c r="AC37" i="5"/>
  <c r="AG37" i="5" s="1"/>
  <c r="AC32" i="5"/>
  <c r="AG32" i="5" s="1"/>
  <c r="AB15" i="5"/>
  <c r="AF15" i="5" s="1"/>
  <c r="AC31" i="5"/>
  <c r="AG31" i="5" s="1"/>
  <c r="AA16" i="5"/>
  <c r="AE16" i="5" s="1"/>
  <c r="AC17" i="5"/>
  <c r="AG17" i="5" s="1"/>
  <c r="AC33" i="5"/>
  <c r="AG33" i="5" s="1"/>
  <c r="AA34" i="5"/>
  <c r="AE34" i="5" s="1"/>
  <c r="AC26" i="5"/>
  <c r="AG26" i="5" s="1"/>
  <c r="AB19" i="5"/>
  <c r="AF19" i="5" s="1"/>
  <c r="AC35" i="5"/>
  <c r="AG35" i="5" s="1"/>
  <c r="AA32" i="5"/>
  <c r="AE32" i="5" s="1"/>
  <c r="AB31" i="5"/>
  <c r="AF31" i="5" s="1"/>
  <c r="AB17" i="5"/>
  <c r="AF17" i="5" s="1"/>
  <c r="AB33" i="5"/>
  <c r="AF33" i="5" s="1"/>
  <c r="AA19" i="5"/>
  <c r="AE19" i="5" s="1"/>
  <c r="AA35" i="5"/>
  <c r="AE35" i="5" s="1"/>
  <c r="AA21" i="5"/>
  <c r="AE21" i="5" s="1"/>
  <c r="AA31" i="5"/>
  <c r="AE31" i="5" s="1"/>
  <c r="AC16" i="5"/>
  <c r="AG16" i="5" s="1"/>
  <c r="AA17" i="5"/>
  <c r="AE17" i="5" s="1"/>
  <c r="AA33" i="5"/>
  <c r="AE33" i="5" s="1"/>
  <c r="AB26" i="5"/>
  <c r="AF26" i="5" s="1"/>
  <c r="AB28" i="5"/>
  <c r="AF28" i="5" s="1"/>
  <c r="AB22" i="5"/>
  <c r="AF22" i="5" s="1"/>
  <c r="AB16" i="5"/>
  <c r="AF16" i="5" s="1"/>
  <c r="G23" i="5"/>
  <c r="F37" i="5"/>
  <c r="G29" i="5"/>
  <c r="G14" i="5"/>
  <c r="AC14" i="5" s="1"/>
  <c r="G30" i="5"/>
  <c r="F18" i="5"/>
  <c r="F21" i="5"/>
  <c r="G24" i="5"/>
  <c r="G22" i="5"/>
  <c r="F29" i="5"/>
  <c r="E24" i="5"/>
  <c r="F14" i="5"/>
  <c r="E15" i="5"/>
  <c r="E22" i="5"/>
  <c r="F24" i="5"/>
  <c r="E30" i="5"/>
  <c r="G21" i="5"/>
  <c r="F13" i="5"/>
  <c r="G28" i="5"/>
  <c r="E28" i="5"/>
  <c r="G13" i="5"/>
  <c r="G15" i="5"/>
  <c r="E23" i="5"/>
  <c r="E18" i="5"/>
  <c r="G18" i="5"/>
  <c r="G36" i="5"/>
  <c r="E37" i="5"/>
  <c r="AL92" i="5" l="1"/>
  <c r="AK96" i="5"/>
  <c r="AL86" i="5"/>
  <c r="AM74" i="5"/>
  <c r="AK70" i="5"/>
  <c r="AK54" i="5"/>
  <c r="AK103" i="5"/>
  <c r="T55" i="5"/>
  <c r="T88" i="5"/>
  <c r="Z55" i="5"/>
  <c r="Z88" i="5"/>
  <c r="AK84" i="5"/>
  <c r="AK72" i="5"/>
  <c r="AM70" i="5"/>
  <c r="AL89" i="5"/>
  <c r="AK95" i="5"/>
  <c r="S74" i="5"/>
  <c r="S107" i="5"/>
  <c r="Y107" i="5"/>
  <c r="Y74" i="5"/>
  <c r="AM101" i="5"/>
  <c r="AM95" i="5"/>
  <c r="AL59" i="5"/>
  <c r="AA22" i="5"/>
  <c r="AE22" i="5" s="1"/>
  <c r="R59" i="5"/>
  <c r="R92" i="5"/>
  <c r="X92" i="5"/>
  <c r="X59" i="5"/>
  <c r="AM69" i="5"/>
  <c r="R93" i="5"/>
  <c r="R60" i="5"/>
  <c r="X93" i="5"/>
  <c r="X60" i="5"/>
  <c r="R94" i="5"/>
  <c r="R61" i="5"/>
  <c r="X61" i="5"/>
  <c r="X94" i="5"/>
  <c r="AK63" i="5"/>
  <c r="AM107" i="5"/>
  <c r="AK89" i="5"/>
  <c r="AK66" i="5"/>
  <c r="AM54" i="5"/>
  <c r="AM97" i="5"/>
  <c r="AK62" i="5"/>
  <c r="AK50" i="5"/>
  <c r="AK69" i="5"/>
  <c r="T85" i="5"/>
  <c r="T52" i="5"/>
  <c r="Z52" i="5"/>
  <c r="Z85" i="5"/>
  <c r="S99" i="5"/>
  <c r="S66" i="5"/>
  <c r="Y99" i="5"/>
  <c r="Y66" i="5"/>
  <c r="AM62" i="5"/>
  <c r="AM103" i="5"/>
  <c r="AM87" i="5"/>
  <c r="AM86" i="5"/>
  <c r="AK64" i="5"/>
  <c r="AL105" i="5"/>
  <c r="AL104" i="5"/>
  <c r="AK68" i="5"/>
  <c r="AM72" i="5"/>
  <c r="AK71" i="5"/>
  <c r="AK83" i="5"/>
  <c r="AL52" i="5"/>
  <c r="T50" i="5"/>
  <c r="T83" i="5"/>
  <c r="Z50" i="5"/>
  <c r="Z83" i="5"/>
  <c r="T59" i="5"/>
  <c r="T92" i="5"/>
  <c r="Z59" i="5"/>
  <c r="Z92" i="5"/>
  <c r="AL101" i="5"/>
  <c r="AK104" i="5"/>
  <c r="AL73" i="5"/>
  <c r="AL53" i="5"/>
  <c r="AL96" i="5"/>
  <c r="AM104" i="5"/>
  <c r="AM71" i="5"/>
  <c r="AK58" i="5"/>
  <c r="AK105" i="5"/>
  <c r="AL65" i="5"/>
  <c r="T93" i="5"/>
  <c r="T60" i="5"/>
  <c r="Z60" i="5"/>
  <c r="Z93" i="5"/>
  <c r="T94" i="5"/>
  <c r="T61" i="5"/>
  <c r="Z94" i="5"/>
  <c r="Z61" i="5"/>
  <c r="AM105" i="5"/>
  <c r="AL103" i="5"/>
  <c r="AK102" i="5"/>
  <c r="AL63" i="5"/>
  <c r="AL70" i="5"/>
  <c r="AK56" i="5"/>
  <c r="AL93" i="5"/>
  <c r="AL97" i="5"/>
  <c r="AL60" i="5"/>
  <c r="AM64" i="5"/>
  <c r="T106" i="5"/>
  <c r="T73" i="5"/>
  <c r="Z106" i="5"/>
  <c r="Z73" i="5"/>
  <c r="T98" i="5"/>
  <c r="T65" i="5"/>
  <c r="Z65" i="5"/>
  <c r="Z98" i="5"/>
  <c r="AL98" i="5"/>
  <c r="AM56" i="5"/>
  <c r="AL106" i="5"/>
  <c r="AL90" i="5"/>
  <c r="AL71" i="5"/>
  <c r="AL95" i="5"/>
  <c r="AL62" i="5"/>
  <c r="AK57" i="5"/>
  <c r="AM96" i="5"/>
  <c r="S51" i="5"/>
  <c r="S84" i="5"/>
  <c r="Y51" i="5"/>
  <c r="Y84" i="5"/>
  <c r="S18" i="5"/>
  <c r="V18" i="5" s="1"/>
  <c r="S55" i="5"/>
  <c r="S88" i="5"/>
  <c r="Y55" i="5"/>
  <c r="Y88" i="5"/>
  <c r="AK97" i="5"/>
  <c r="AL102" i="5"/>
  <c r="AM57" i="5"/>
  <c r="AM102" i="5"/>
  <c r="AM63" i="5"/>
  <c r="AK99" i="5"/>
  <c r="AL64" i="5"/>
  <c r="AL69" i="5"/>
  <c r="AK91" i="5"/>
  <c r="R85" i="5"/>
  <c r="R52" i="5"/>
  <c r="X52" i="5"/>
  <c r="X85" i="5"/>
  <c r="T67" i="5"/>
  <c r="T100" i="5"/>
  <c r="Z100" i="5"/>
  <c r="Z67" i="5"/>
  <c r="AL56" i="5"/>
  <c r="AL87" i="5"/>
  <c r="AK90" i="5"/>
  <c r="AL72" i="5"/>
  <c r="AK86" i="5"/>
  <c r="AL54" i="5"/>
  <c r="AL68" i="5"/>
  <c r="X18" i="5"/>
  <c r="R55" i="5"/>
  <c r="R88" i="5"/>
  <c r="X55" i="5"/>
  <c r="X88" i="5"/>
  <c r="R98" i="5"/>
  <c r="R65" i="5"/>
  <c r="X98" i="5"/>
  <c r="X65" i="5"/>
  <c r="S50" i="5"/>
  <c r="S83" i="5"/>
  <c r="Y50" i="5"/>
  <c r="Y83" i="5"/>
  <c r="T51" i="5"/>
  <c r="T84" i="5"/>
  <c r="Z84" i="5"/>
  <c r="AM84" i="5" s="1"/>
  <c r="Z51" i="5"/>
  <c r="AL57" i="5"/>
  <c r="AK53" i="5"/>
  <c r="AL67" i="5"/>
  <c r="AL100" i="5"/>
  <c r="AM89" i="5"/>
  <c r="AK101" i="5"/>
  <c r="S91" i="5"/>
  <c r="S58" i="5"/>
  <c r="Y58" i="5"/>
  <c r="Y91" i="5"/>
  <c r="T91" i="5"/>
  <c r="T58" i="5"/>
  <c r="Z58" i="5"/>
  <c r="Z91" i="5"/>
  <c r="R100" i="5"/>
  <c r="R67" i="5"/>
  <c r="X100" i="5"/>
  <c r="X67" i="5"/>
  <c r="X37" i="5"/>
  <c r="R74" i="5"/>
  <c r="R107" i="5"/>
  <c r="X107" i="5"/>
  <c r="X74" i="5"/>
  <c r="S94" i="5"/>
  <c r="S61" i="5"/>
  <c r="Y94" i="5"/>
  <c r="Y61" i="5"/>
  <c r="T99" i="5"/>
  <c r="T66" i="5"/>
  <c r="Z66" i="5"/>
  <c r="Z99" i="5"/>
  <c r="AK13" i="5"/>
  <c r="AK87" i="5"/>
  <c r="AK51" i="5"/>
  <c r="AM53" i="5"/>
  <c r="AM68" i="5"/>
  <c r="AL85" i="5"/>
  <c r="AM90" i="5"/>
  <c r="F38" i="5"/>
  <c r="T13" i="5"/>
  <c r="W13" i="5" s="1"/>
  <c r="G38" i="5"/>
  <c r="E38" i="5"/>
  <c r="AM35" i="5"/>
  <c r="AM20" i="5"/>
  <c r="AM31" i="5"/>
  <c r="AM16" i="5"/>
  <c r="AK17" i="5"/>
  <c r="AL16" i="5"/>
  <c r="AK32" i="5"/>
  <c r="AM32" i="5"/>
  <c r="AL30" i="5"/>
  <c r="AL36" i="5"/>
  <c r="AK31" i="5"/>
  <c r="AL22" i="5"/>
  <c r="AK16" i="5"/>
  <c r="AL25" i="5"/>
  <c r="AK34" i="5"/>
  <c r="AM19" i="5"/>
  <c r="AL17" i="5"/>
  <c r="AL35" i="5"/>
  <c r="AL20" i="5"/>
  <c r="AK29" i="5"/>
  <c r="AK21" i="5"/>
  <c r="AK35" i="5"/>
  <c r="AL34" i="5"/>
  <c r="AL27" i="5"/>
  <c r="AK20" i="5"/>
  <c r="AL33" i="5"/>
  <c r="AM34" i="5"/>
  <c r="AK27" i="5"/>
  <c r="AL26" i="5"/>
  <c r="AM33" i="5"/>
  <c r="AK14" i="5"/>
  <c r="AM27" i="5"/>
  <c r="AL19" i="5"/>
  <c r="AM26" i="5"/>
  <c r="AK19" i="5"/>
  <c r="AL32" i="5"/>
  <c r="AM25" i="5"/>
  <c r="AL23" i="5"/>
  <c r="AK26" i="5"/>
  <c r="AK33" i="5"/>
  <c r="AM17" i="5"/>
  <c r="AM37" i="5"/>
  <c r="AL15" i="5"/>
  <c r="AL31" i="5"/>
  <c r="AL28" i="5"/>
  <c r="AK25" i="5"/>
  <c r="R37" i="5"/>
  <c r="U37" i="5" s="1"/>
  <c r="Z13" i="5"/>
  <c r="T21" i="5"/>
  <c r="W21" i="5" s="1"/>
  <c r="Z21" i="5"/>
  <c r="T30" i="5"/>
  <c r="W30" i="5" s="1"/>
  <c r="Z30" i="5"/>
  <c r="T15" i="5"/>
  <c r="W15" i="5" s="1"/>
  <c r="Z15" i="5"/>
  <c r="T36" i="5"/>
  <c r="W36" i="5" s="1"/>
  <c r="Z36" i="5"/>
  <c r="T18" i="5"/>
  <c r="W18" i="5" s="1"/>
  <c r="Z18" i="5"/>
  <c r="S29" i="5"/>
  <c r="V29" i="5" s="1"/>
  <c r="Y29" i="5"/>
  <c r="T14" i="5"/>
  <c r="W14" i="5" s="1"/>
  <c r="Z14" i="5"/>
  <c r="R36" i="5"/>
  <c r="U36" i="5" s="1"/>
  <c r="R28" i="5"/>
  <c r="U28" i="5" s="1"/>
  <c r="X28" i="5"/>
  <c r="R30" i="5"/>
  <c r="U30" i="5" s="1"/>
  <c r="X30" i="5"/>
  <c r="T22" i="5"/>
  <c r="W22" i="5" s="1"/>
  <c r="Z22" i="5"/>
  <c r="T29" i="5"/>
  <c r="W29" i="5" s="1"/>
  <c r="Z29" i="5"/>
  <c r="T28" i="5"/>
  <c r="W28" i="5" s="1"/>
  <c r="Z28" i="5"/>
  <c r="S37" i="5"/>
  <c r="V37" i="5" s="1"/>
  <c r="Y37" i="5"/>
  <c r="S13" i="5"/>
  <c r="V13" i="5" s="1"/>
  <c r="Y13" i="5"/>
  <c r="R22" i="5"/>
  <c r="U22" i="5" s="1"/>
  <c r="X22" i="5"/>
  <c r="T24" i="5"/>
  <c r="W24" i="5" s="1"/>
  <c r="Z24" i="5"/>
  <c r="R24" i="5"/>
  <c r="U24" i="5" s="1"/>
  <c r="X24" i="5"/>
  <c r="R18" i="5"/>
  <c r="U18" i="5" s="1"/>
  <c r="S24" i="5"/>
  <c r="V24" i="5" s="1"/>
  <c r="Y24" i="5"/>
  <c r="R15" i="5"/>
  <c r="U15" i="5" s="1"/>
  <c r="X15" i="5"/>
  <c r="S21" i="5"/>
  <c r="V21" i="5" s="1"/>
  <c r="Y21" i="5"/>
  <c r="T23" i="5"/>
  <c r="W23" i="5" s="1"/>
  <c r="Z23" i="5"/>
  <c r="R23" i="5"/>
  <c r="U23" i="5" s="1"/>
  <c r="X23" i="5"/>
  <c r="S14" i="5"/>
  <c r="V14" i="5" s="1"/>
  <c r="Y14" i="5"/>
  <c r="Y18" i="5"/>
  <c r="AB13" i="5"/>
  <c r="AF13" i="5" s="1"/>
  <c r="AC24" i="5"/>
  <c r="AG24" i="5" s="1"/>
  <c r="AB21" i="5"/>
  <c r="AF21" i="5" s="1"/>
  <c r="AA23" i="5"/>
  <c r="AE23" i="5" s="1"/>
  <c r="AB14" i="5"/>
  <c r="AF14" i="5" s="1"/>
  <c r="AB18" i="5"/>
  <c r="AF18" i="5" s="1"/>
  <c r="AA37" i="5"/>
  <c r="AE37" i="5" s="1"/>
  <c r="AC15" i="5"/>
  <c r="AG15" i="5" s="1"/>
  <c r="AA24" i="5"/>
  <c r="AE24" i="5" s="1"/>
  <c r="AC23" i="5"/>
  <c r="AG23" i="5" s="1"/>
  <c r="AC36" i="5"/>
  <c r="AG36" i="5" s="1"/>
  <c r="AC13" i="5"/>
  <c r="AG13" i="5" s="1"/>
  <c r="AC21" i="5"/>
  <c r="AG21" i="5" s="1"/>
  <c r="AC30" i="5"/>
  <c r="AG30" i="5" s="1"/>
  <c r="AC18" i="5"/>
  <c r="AG18" i="5" s="1"/>
  <c r="AA36" i="5"/>
  <c r="AB29" i="5"/>
  <c r="AF29" i="5" s="1"/>
  <c r="AG14" i="5"/>
  <c r="AA15" i="5"/>
  <c r="AE15" i="5" s="1"/>
  <c r="AA28" i="5"/>
  <c r="AE28" i="5" s="1"/>
  <c r="AA30" i="5"/>
  <c r="AE30" i="5" s="1"/>
  <c r="AC22" i="5"/>
  <c r="AG22" i="5" s="1"/>
  <c r="AC29" i="5"/>
  <c r="AG29" i="5" s="1"/>
  <c r="AA18" i="5"/>
  <c r="AE18" i="5" s="1"/>
  <c r="AC28" i="5"/>
  <c r="AG28" i="5" s="1"/>
  <c r="AB24" i="5"/>
  <c r="AF24" i="5" s="1"/>
  <c r="AB37" i="5"/>
  <c r="AF37" i="5" s="1"/>
  <c r="AL61" i="5" l="1"/>
  <c r="AK59" i="5"/>
  <c r="AK92" i="5"/>
  <c r="AK74" i="5"/>
  <c r="X108" i="5"/>
  <c r="AK107" i="5"/>
  <c r="R108" i="5"/>
  <c r="AK98" i="5"/>
  <c r="R75" i="5"/>
  <c r="Y75" i="5"/>
  <c r="AE36" i="5"/>
  <c r="AE38" i="5" s="1"/>
  <c r="AK106" i="5"/>
  <c r="AK73" i="5"/>
  <c r="AL94" i="5"/>
  <c r="AM91" i="5"/>
  <c r="AL84" i="5"/>
  <c r="AM93" i="5"/>
  <c r="AL99" i="5"/>
  <c r="AL66" i="5"/>
  <c r="AM58" i="5"/>
  <c r="AL51" i="5"/>
  <c r="AM60" i="5"/>
  <c r="AM51" i="5"/>
  <c r="AK88" i="5"/>
  <c r="AM67" i="5"/>
  <c r="S108" i="5"/>
  <c r="AM98" i="5"/>
  <c r="AK55" i="5"/>
  <c r="AM100" i="5"/>
  <c r="S75" i="5"/>
  <c r="AM65" i="5"/>
  <c r="AM92" i="5"/>
  <c r="AM85" i="5"/>
  <c r="X75" i="5"/>
  <c r="AL91" i="5"/>
  <c r="AM59" i="5"/>
  <c r="Z75" i="5"/>
  <c r="AM52" i="5"/>
  <c r="AK94" i="5"/>
  <c r="AL58" i="5"/>
  <c r="AK61" i="5"/>
  <c r="AL83" i="5"/>
  <c r="Y108" i="5"/>
  <c r="AK85" i="5"/>
  <c r="AM73" i="5"/>
  <c r="AM99" i="5"/>
  <c r="AL50" i="5"/>
  <c r="AK52" i="5"/>
  <c r="AL88" i="5"/>
  <c r="AM106" i="5"/>
  <c r="AM83" i="5"/>
  <c r="Z108" i="5"/>
  <c r="AM88" i="5"/>
  <c r="AM66" i="5"/>
  <c r="AK67" i="5"/>
  <c r="AL55" i="5"/>
  <c r="AM61" i="5"/>
  <c r="AM50" i="5"/>
  <c r="AK60" i="5"/>
  <c r="AM55" i="5"/>
  <c r="AK100" i="5"/>
  <c r="AM94" i="5"/>
  <c r="T108" i="5"/>
  <c r="AK93" i="5"/>
  <c r="AL74" i="5"/>
  <c r="AK65" i="5"/>
  <c r="T75" i="5"/>
  <c r="AL107" i="5"/>
  <c r="X38" i="5"/>
  <c r="S38" i="5"/>
  <c r="V38" i="5" s="1"/>
  <c r="AK28" i="5"/>
  <c r="AK15" i="5"/>
  <c r="AK23" i="5"/>
  <c r="AG38" i="5"/>
  <c r="AM18" i="5"/>
  <c r="AM22" i="5"/>
  <c r="AF38" i="5"/>
  <c r="AL13" i="5"/>
  <c r="AM30" i="5"/>
  <c r="AM23" i="5"/>
  <c r="AK18" i="5"/>
  <c r="AL29" i="5"/>
  <c r="AM13" i="5"/>
  <c r="AM24" i="5"/>
  <c r="AK30" i="5"/>
  <c r="AM36" i="5"/>
  <c r="AL18" i="5"/>
  <c r="AL37" i="5"/>
  <c r="AK36" i="5"/>
  <c r="AL21" i="5"/>
  <c r="AK24" i="5"/>
  <c r="AM29" i="5"/>
  <c r="AK37" i="5"/>
  <c r="AL14" i="5"/>
  <c r="AK22" i="5"/>
  <c r="AM15" i="5"/>
  <c r="AL24" i="5"/>
  <c r="AM28" i="5"/>
  <c r="AM14" i="5"/>
  <c r="AM21" i="5"/>
  <c r="T38" i="5"/>
  <c r="W38" i="5" s="1"/>
  <c r="R38" i="5"/>
  <c r="U38" i="5" s="1"/>
  <c r="AA38" i="5"/>
  <c r="AC38" i="5"/>
  <c r="Z38" i="5"/>
  <c r="AB38" i="5"/>
  <c r="Y38" i="5"/>
  <c r="AK75" i="5" l="1"/>
  <c r="C22" i="67" s="1"/>
  <c r="H22" i="67" s="1"/>
  <c r="H28" i="67" s="1"/>
  <c r="H12" i="67" s="1"/>
  <c r="AM108" i="5"/>
  <c r="E32" i="67" s="1"/>
  <c r="J32" i="67" s="1"/>
  <c r="J38" i="67" s="1"/>
  <c r="AK108" i="5"/>
  <c r="C32" i="67" s="1"/>
  <c r="H32" i="67" s="1"/>
  <c r="H38" i="67" s="1"/>
  <c r="AL108" i="5"/>
  <c r="D32" i="67" s="1"/>
  <c r="I32" i="67" s="1"/>
  <c r="I38" i="67" s="1"/>
  <c r="AL75" i="5"/>
  <c r="D22" i="67" s="1"/>
  <c r="I22" i="67" s="1"/>
  <c r="I28" i="67" s="1"/>
  <c r="I12" i="67" s="1"/>
  <c r="AM75" i="5"/>
  <c r="E22" i="67" s="1"/>
  <c r="J22" i="67" s="1"/>
  <c r="J28" i="67" s="1"/>
  <c r="J12" i="67" s="1"/>
  <c r="AK38" i="5"/>
  <c r="AL38" i="5"/>
  <c r="D4" i="67" s="1"/>
  <c r="AM38" i="5"/>
  <c r="AK43" i="5" l="1"/>
  <c r="C4" i="67"/>
  <c r="H4" i="67" s="1"/>
  <c r="H70" i="67" s="1"/>
  <c r="H77" i="67" s="1"/>
  <c r="H13" i="67" s="1"/>
  <c r="D28" i="67"/>
  <c r="D38" i="67"/>
  <c r="AM43" i="5"/>
  <c r="E4" i="67"/>
  <c r="I4" i="67"/>
  <c r="D10" i="67"/>
  <c r="AL43" i="5"/>
  <c r="I10" i="67" l="1"/>
  <c r="I70" i="67"/>
  <c r="I77" i="67" s="1"/>
  <c r="I13" i="67" s="1"/>
  <c r="C28" i="67"/>
  <c r="C38" i="67"/>
  <c r="E28" i="67"/>
  <c r="E38" i="67"/>
  <c r="H10" i="67"/>
  <c r="C10" i="67"/>
  <c r="J4" i="67"/>
  <c r="E10" i="67"/>
  <c r="J10" i="67" l="1"/>
  <c r="J70" i="67"/>
  <c r="J77" i="67" s="1"/>
  <c r="J13" i="67" s="1"/>
</calcChain>
</file>

<file path=xl/sharedStrings.xml><?xml version="1.0" encoding="utf-8"?>
<sst xmlns="http://schemas.openxmlformats.org/spreadsheetml/2006/main" count="3570" uniqueCount="494">
  <si>
    <t>Clean Power 2030 System Cost Calculation Model</t>
  </si>
  <si>
    <t>About</t>
  </si>
  <si>
    <t xml:space="preserve">This workbook contains data used to generate the system costs for CP30 as outlined in the main report and the annex. </t>
  </si>
  <si>
    <r>
      <t xml:space="preserve">For questions regarding this data set, please contact us at: </t>
    </r>
    <r>
      <rPr>
        <b/>
        <sz val="11"/>
        <color rgb="FF454546"/>
        <rFont val="Poppins"/>
      </rPr>
      <t>box.cleanpower2030@nationalenergyso.com</t>
    </r>
  </si>
  <si>
    <t>Data:</t>
  </si>
  <si>
    <t>Dispatched volumes</t>
  </si>
  <si>
    <t>Units</t>
  </si>
  <si>
    <t>GWh</t>
  </si>
  <si>
    <t>Source</t>
  </si>
  <si>
    <t xml:space="preserve">NESO Modelling </t>
  </si>
  <si>
    <t>Input from Plexos</t>
  </si>
  <si>
    <t>Pathway</t>
  </si>
  <si>
    <t>Collection</t>
  </si>
  <si>
    <t>Category</t>
  </si>
  <si>
    <t>Property</t>
  </si>
  <si>
    <t>Band</t>
  </si>
  <si>
    <t>Fiscal Year</t>
  </si>
  <si>
    <t>Value</t>
  </si>
  <si>
    <t>Category lv2 in presentation</t>
  </si>
  <si>
    <t>Further Flex and Renewables</t>
  </si>
  <si>
    <t>Generator</t>
  </si>
  <si>
    <t>Biomass</t>
  </si>
  <si>
    <t>Generation</t>
  </si>
  <si>
    <t>GB_DSR</t>
  </si>
  <si>
    <t>Nuclear</t>
  </si>
  <si>
    <t>Solar PV</t>
  </si>
  <si>
    <t>Waste</t>
  </si>
  <si>
    <t>Advanced Conversion Technology (ACT)</t>
  </si>
  <si>
    <t>Advanced Conversion Technology (ACT) CHP</t>
  </si>
  <si>
    <t>Biomass CHP</t>
  </si>
  <si>
    <t>CCGT</t>
  </si>
  <si>
    <t>CCGT Hydrogen</t>
  </si>
  <si>
    <t>CCS Biomass</t>
  </si>
  <si>
    <t>CCS Gas</t>
  </si>
  <si>
    <t>Gas Reciprocating Engines</t>
  </si>
  <si>
    <t>GT</t>
  </si>
  <si>
    <t>GT CHP</t>
  </si>
  <si>
    <t>Offshore Wind</t>
  </si>
  <si>
    <t>Onshore Wind</t>
  </si>
  <si>
    <t>Pumped Hydro</t>
  </si>
  <si>
    <t>Reservoir Hydro</t>
  </si>
  <si>
    <t>Small-Scale-Hydro</t>
  </si>
  <si>
    <t>Steam Oil</t>
  </si>
  <si>
    <t>Tidal Range</t>
  </si>
  <si>
    <t>Hydrogen Reciprocating Engines</t>
  </si>
  <si>
    <t>Offshore Wind_HND</t>
  </si>
  <si>
    <t>Aggregated Small CHP Gas</t>
  </si>
  <si>
    <t>Aggregated Small CHP Hydrogen</t>
  </si>
  <si>
    <t>New Dispatch</t>
  </si>
  <si>
    <t>CF</t>
  </si>
  <si>
    <t>Diesel Reciprocating Engines</t>
  </si>
  <si>
    <t>Transmission network</t>
  </si>
  <si>
    <t>Key</t>
  </si>
  <si>
    <t>Hard-coded input</t>
  </si>
  <si>
    <t>Calculation</t>
  </si>
  <si>
    <t>Pulled from another cell</t>
  </si>
  <si>
    <t>WACC</t>
  </si>
  <si>
    <t>%</t>
  </si>
  <si>
    <t>RIIO-3 Sector Specific Methodology Decision – Finance Annex (ofgem.gov.uk)</t>
  </si>
  <si>
    <t>Item</t>
  </si>
  <si>
    <t>Low</t>
  </si>
  <si>
    <t>High</t>
  </si>
  <si>
    <t>Medium</t>
  </si>
  <si>
    <t>Link</t>
  </si>
  <si>
    <t>Cost of equity</t>
  </si>
  <si>
    <t>Table 13</t>
  </si>
  <si>
    <t>Cost of debt</t>
  </si>
  <si>
    <t>Table 1</t>
  </si>
  <si>
    <t>Gearing</t>
  </si>
  <si>
    <t>Lifetime</t>
  </si>
  <si>
    <t>Year</t>
  </si>
  <si>
    <t>Asset lifetime</t>
  </si>
  <si>
    <t>ET</t>
  </si>
  <si>
    <t>Table 17</t>
  </si>
  <si>
    <t>Capex</t>
  </si>
  <si>
    <t>£m (in 2023/24 price, assuming same as real 2024 price)</t>
  </si>
  <si>
    <t>Transmission Operators - confidential information</t>
  </si>
  <si>
    <t>For Further Flex and Renewables/New Dispatch</t>
  </si>
  <si>
    <t>Total Transmission Cost (£m)- All TOs 2025-30</t>
  </si>
  <si>
    <t>For CF</t>
  </si>
  <si>
    <t>Opex (new)</t>
  </si>
  <si>
    <t>£m</t>
  </si>
  <si>
    <t>NESO: CP pathways peak demand - CP 2030 modelling</t>
  </si>
  <si>
    <t>FES 24: Counterfactual peak demand</t>
  </si>
  <si>
    <t>Ofgem: RIIO T2 Final Determinations for annual allowed OPEX baseline figure</t>
  </si>
  <si>
    <t>Baseline cost</t>
  </si>
  <si>
    <t>£m (2018)</t>
  </si>
  <si>
    <t>£m (2024)</t>
  </si>
  <si>
    <t>Input</t>
  </si>
  <si>
    <t>Scenario</t>
  </si>
  <si>
    <t>Peak demand</t>
  </si>
  <si>
    <t>GW</t>
  </si>
  <si>
    <t>Peak demand scalar</t>
  </si>
  <si>
    <t>scalar</t>
  </si>
  <si>
    <t>2030 Transmission network OPEX</t>
  </si>
  <si>
    <t>Distribution network</t>
  </si>
  <si>
    <t>Distribution network CAPEX (2025-30) and OPEX (2030)</t>
  </si>
  <si>
    <t>£m, 2020/2021 prices (unless otherwise stated)</t>
  </si>
  <si>
    <t>Baringa analysis of RIIO-ED2 determinations (see methodology doc for more information)</t>
  </si>
  <si>
    <t>WACC/Lifetime inputs</t>
  </si>
  <si>
    <t>Operating lifetime - years (for system cost calculation)</t>
  </si>
  <si>
    <t>RIIO-ED2 Final Determinations Finance Annex (ofgem.gov.uk)</t>
  </si>
  <si>
    <t>WACC - years (for system cost calculation)</t>
  </si>
  <si>
    <t>RIIO-ED2 Draft Determinations - Oxera</t>
  </si>
  <si>
    <t>CAPEX / OPEX Inputs</t>
  </si>
  <si>
    <t>RIIO-ED2 Determinations</t>
  </si>
  <si>
    <t>Annex for each DNO available on Ofgem website</t>
  </si>
  <si>
    <t>RIIO-ED2 Final Determinations | Ofgem</t>
  </si>
  <si>
    <t>Taking Final Decision (FD), Net Before Non-Price Control Allocations (NPCA)</t>
  </si>
  <si>
    <t>DNO</t>
  </si>
  <si>
    <t>Description</t>
  </si>
  <si>
    <t>ENWL</t>
  </si>
  <si>
    <t>NGED</t>
  </si>
  <si>
    <t>NPg</t>
  </si>
  <si>
    <t>SPEN</t>
  </si>
  <si>
    <t>SSEN</t>
  </si>
  <si>
    <t>UKPN</t>
  </si>
  <si>
    <t>Total</t>
  </si>
  <si>
    <t>Scales with total capacity?</t>
  </si>
  <si>
    <t>Scales with new capacity?</t>
  </si>
  <si>
    <t>Load related capex</t>
  </si>
  <si>
    <t>Investment in upgrading the network to deal with increased generation capacity and low carbon infrastructure.</t>
  </si>
  <si>
    <t>No</t>
  </si>
  <si>
    <t>Yes</t>
  </si>
  <si>
    <t>Non-load related capex</t>
  </si>
  <si>
    <t>Replacement or refurbishment of assets which are at end of life or need replacing on safety or environmental grounds.</t>
  </si>
  <si>
    <t>Non-operating capex</t>
  </si>
  <si>
    <t>Capital costs from activities unrelated to core activities.</t>
  </si>
  <si>
    <t>Network operating costs</t>
  </si>
  <si>
    <t>Day-to-day costs to maintain and operate the distribution network.</t>
  </si>
  <si>
    <t>Closely associated indirects</t>
  </si>
  <si>
    <t>Back of office functions involved in construction and operation of network assets.</t>
  </si>
  <si>
    <t>Business support costs</t>
  </si>
  <si>
    <t>Operating costs required to support the DNOs overall business.</t>
  </si>
  <si>
    <t>Total FES capacity</t>
  </si>
  <si>
    <t>RIIO-ED2 Period</t>
  </si>
  <si>
    <t>Quantity</t>
  </si>
  <si>
    <t>FES description</t>
  </si>
  <si>
    <t>Unit</t>
  </si>
  <si>
    <t>Peak capacity</t>
  </si>
  <si>
    <t xml:space="preserve">GBFES Peak Customer Demand: Total Consumption plus Losses </t>
  </si>
  <si>
    <t>CP30.Further Flex and Renewables</t>
  </si>
  <si>
    <t>New capacity</t>
  </si>
  <si>
    <t>CAPEX/OPEX Summary</t>
  </si>
  <si>
    <t>£m, 2020/2021 prices</t>
  </si>
  <si>
    <t>Cost</t>
  </si>
  <si>
    <t>£m/yr</t>
  </si>
  <si>
    <t>Total (2025-2030)</t>
  </si>
  <si>
    <t>Total (2025-2030) real 2024</t>
  </si>
  <si>
    <t>Total CAPEX</t>
  </si>
  <si>
    <t>Total OPEX</t>
  </si>
  <si>
    <t>Estimate CAPEX/OPEX per year</t>
  </si>
  <si>
    <t>RIIO-ED2 Prices outline the total spend across different areas over a 5-year period from 1st April 2023 to 31st March 2028.</t>
  </si>
  <si>
    <t>Some annual costs will remain the same, some costs will scale as network size increases.</t>
  </si>
  <si>
    <t>Costs not scaling with capacity</t>
  </si>
  <si>
    <t>Total over 5 years (£m)</t>
  </si>
  <si>
    <t>Total per year (£m/yr)</t>
  </si>
  <si>
    <t>Total spend per year</t>
  </si>
  <si>
    <t>Costs scaling with total capacity</t>
  </si>
  <si>
    <t>Average capacity over 5 year period</t>
  </si>
  <si>
    <t>Total spend over 5 years</t>
  </si>
  <si>
    <t>Average</t>
  </si>
  <si>
    <t>Costs scaling with new capacity</t>
  </si>
  <si>
    <t>Capacity added over RIIO-ED2 Period</t>
  </si>
  <si>
    <t>Cost per GW added</t>
  </si>
  <si>
    <t>£m/GW</t>
  </si>
  <si>
    <t>Interconnector CAPEX assumptions</t>
  </si>
  <si>
    <t>£ / kW</t>
  </si>
  <si>
    <t>1. Mares Interconnector project page for Mares CAPEX estimate</t>
  </si>
  <si>
    <t>2. Ofgem Final Project Allowance for NeuConnect CAPEX estimate</t>
  </si>
  <si>
    <t>(pg12 for final allowed project CAPEX (main project costs + risk))</t>
  </si>
  <si>
    <t>Notes</t>
  </si>
  <si>
    <t>Mares</t>
  </si>
  <si>
    <t>Project capacity</t>
  </si>
  <si>
    <t>CAPEX estimate</t>
  </si>
  <si>
    <t>MW</t>
  </si>
  <si>
    <t>€m (real 2024)</t>
  </si>
  <si>
    <t>£m (real 2024)</t>
  </si>
  <si>
    <t>Figure</t>
  </si>
  <si>
    <t>NeuConnect</t>
  </si>
  <si>
    <t>£m (real 2022)</t>
  </si>
  <si>
    <t>£m/MW</t>
  </si>
  <si>
    <t>GBP/EUR exchange rate &amp; GDP Deflator</t>
  </si>
  <si>
    <t>see below</t>
  </si>
  <si>
    <t>FES 24 Data Workbook - Conversation Rates</t>
  </si>
  <si>
    <t>Exchange rate</t>
  </si>
  <si>
    <t>GDP Deflator</t>
  </si>
  <si>
    <t>From:</t>
  </si>
  <si>
    <t>GBP</t>
  </si>
  <si>
    <t>GBP-pence</t>
  </si>
  <si>
    <t>USD</t>
  </si>
  <si>
    <t>EUR</t>
  </si>
  <si>
    <t>To:</t>
  </si>
  <si>
    <t>2019=100</t>
  </si>
  <si>
    <t>Data</t>
  </si>
  <si>
    <t>FES24 installed capacities</t>
  </si>
  <si>
    <t>NESO Modelling</t>
  </si>
  <si>
    <t>Installed Capacity</t>
  </si>
  <si>
    <t>Fossil Gas</t>
  </si>
  <si>
    <t>Aggregated Small CHP</t>
  </si>
  <si>
    <t>Coal</t>
  </si>
  <si>
    <t>Counterfactual</t>
  </si>
  <si>
    <t/>
  </si>
  <si>
    <t>Solar</t>
  </si>
  <si>
    <t>Storage</t>
  </si>
  <si>
    <t>Battery</t>
  </si>
  <si>
    <t>Compressed Air</t>
  </si>
  <si>
    <t>Liquid Air</t>
  </si>
  <si>
    <t>Thermal</t>
  </si>
  <si>
    <t>Gas CHP</t>
  </si>
  <si>
    <t>Hydrogen CHP</t>
  </si>
  <si>
    <t>Transmission</t>
  </si>
  <si>
    <t>2024 deployed capacity</t>
  </si>
  <si>
    <t>CP30 outputs / FES24 workbook</t>
  </si>
  <si>
    <t>Technology</t>
  </si>
  <si>
    <t>2023 Capacity</t>
  </si>
  <si>
    <t>Waste CHP</t>
  </si>
  <si>
    <t>Interconnection</t>
  </si>
  <si>
    <t>Deployed capacity by CP2030 scenario</t>
  </si>
  <si>
    <t>*Our economic costing analysis was carried out alongside finalisation of model runs for network analysis, meaning that there are some minor differences in the assumptions made for network analysis and economic costing</t>
  </si>
  <si>
    <t>(MW)</t>
  </si>
  <si>
    <t>CP.Further Flex and Renewables</t>
  </si>
  <si>
    <t>CP.New Dispatch</t>
  </si>
  <si>
    <t>CP30.CF</t>
  </si>
  <si>
    <t>High-flex</t>
  </si>
  <si>
    <t>Renewables fall short</t>
  </si>
  <si>
    <t>Additonal deployment required between 2024 and 2030</t>
  </si>
  <si>
    <t>DESNZ assumptions</t>
  </si>
  <si>
    <t>Source for calculations:</t>
  </si>
  <si>
    <t>See separate tech cost methodology workbook for details on underlying sources and adjustment methodology</t>
  </si>
  <si>
    <t>Note:</t>
  </si>
  <si>
    <t>This is for 1-hour battery</t>
  </si>
  <si>
    <t>Cost item</t>
  </si>
  <si>
    <t>Source number</t>
  </si>
  <si>
    <t>Operating lifetime</t>
  </si>
  <si>
    <t>Baseline DESNZ cost (real 2024)</t>
  </si>
  <si>
    <t>CPI &amp; ASP uplifted costs - central CAPEX sensitivity</t>
  </si>
  <si>
    <t>CPI &amp; ASP uplifted costs - low CAPEX sensitivity</t>
  </si>
  <si>
    <t>CPI &amp; ASP uplifted costs - high CAPEX sensitivity</t>
  </si>
  <si>
    <t>CAPEX</t>
  </si>
  <si>
    <t>Fixed O&amp;M (incl. insurance)</t>
  </si>
  <si>
    <t>£ / kW / yr</t>
  </si>
  <si>
    <t>Variable O&amp;M</t>
  </si>
  <si>
    <t>£ / MWh</t>
  </si>
  <si>
    <t>Storage cost adjustment</t>
  </si>
  <si>
    <t>Source:</t>
  </si>
  <si>
    <t>Cost Projections for Utility-Scale Battery Storage: 2023 Update (nrel.gov)</t>
  </si>
  <si>
    <t>$2022/kWh</t>
  </si>
  <si>
    <t>£2024/kWh</t>
  </si>
  <si>
    <t>Cost of Energy Components</t>
  </si>
  <si>
    <t>Hour</t>
  </si>
  <si>
    <t>Duration of storage in CP pathways:</t>
  </si>
  <si>
    <t>Baringa estimated based on Clean Power Plexos solutions</t>
  </si>
  <si>
    <t>Adjusted cost</t>
  </si>
  <si>
    <t>Technology cost assumptions</t>
  </si>
  <si>
    <t>Name</t>
  </si>
  <si>
    <t>Price base</t>
  </si>
  <si>
    <t>Energy generation cost projections 2023 (Annex A)</t>
  </si>
  <si>
    <t>BEIS Electricity Generation Costs (2020)</t>
  </si>
  <si>
    <t>BEIS Electricity Generation Costs (2016)</t>
  </si>
  <si>
    <t>Hydrogen production costs 2021 (Annex)</t>
  </si>
  <si>
    <t>Storage cost and technical assumptions for BEIS (2018)</t>
  </si>
  <si>
    <t>Calculations source:</t>
  </si>
  <si>
    <t>CO2</t>
  </si>
  <si>
    <t>Sources</t>
  </si>
  <si>
    <t>Case</t>
  </si>
  <si>
    <t>Also cited in</t>
  </si>
  <si>
    <t>CO2 Transportation and storage</t>
  </si>
  <si>
    <t>Central</t>
  </si>
  <si>
    <t>£2016/tCO2</t>
  </si>
  <si>
    <t>Strategic UK CCS Storage Appraisal | The ETI</t>
  </si>
  <si>
    <t xml:space="preserve"> 10.94 ~18.27</t>
  </si>
  <si>
    <t>https___es.catapult.org.uk_wp-content_uploads_2022_04_ESME_v4.5_Data_References_Book.pdf</t>
  </si>
  <si>
    <t>£2024/tCO2</t>
  </si>
  <si>
    <t>Industrial carbon capture utilisation and storage in the UK: The importance of wage responses in conditioning the outcomes of a new UK CO2 transport and storage industry emerging in a labour supply constrained economy - ScienceDirect</t>
  </si>
  <si>
    <t xml:space="preserve">Industrial carbon capture utilisation and storage in the UK — University of Strathclyde. </t>
  </si>
  <si>
    <t>CO2 transportation and storage</t>
  </si>
  <si>
    <t>Assumptions</t>
  </si>
  <si>
    <t>CO2 transportation and storage - High Calculation</t>
  </si>
  <si>
    <t>Track 1 &amp; 2 Clusters</t>
  </si>
  <si>
    <t xml:space="preserve">Total Capital Stock Created </t>
  </si>
  <si>
    <t>Pre-operation investment - evenly distributed over the investment period</t>
  </si>
  <si>
    <t>Ongoing additional annual investment</t>
  </si>
  <si>
    <t>Total Industrial Emissions services</t>
  </si>
  <si>
    <t>Mt, mCO2</t>
  </si>
  <si>
    <t>Capital Stock/Emissions serviced</t>
  </si>
  <si>
    <t>£/tCo2</t>
  </si>
  <si>
    <t>H2 transport and storage</t>
  </si>
  <si>
    <t>Assumed WACC</t>
  </si>
  <si>
    <r>
      <t>&lt;Aligned to power network</t>
    </r>
    <r>
      <rPr>
        <sz val="11"/>
        <color rgb="FFFF0000"/>
        <rFont val="Aptos Narrow"/>
        <family val="2"/>
        <scheme val="minor"/>
      </rPr>
      <t xml:space="preserve"> in absence of data point</t>
    </r>
  </si>
  <si>
    <t>Operational lifetime</t>
  </si>
  <si>
    <t>years</t>
  </si>
  <si>
    <t>Annuitised CAPEX</t>
  </si>
  <si>
    <t>OPEX</t>
  </si>
  <si>
    <t>Working calculations</t>
  </si>
  <si>
    <t>Total capital costs in 2050 (£m, 2024 prices)</t>
  </si>
  <si>
    <t>Total operational pipeline costs in 2050 (£m, 2024 prices)</t>
  </si>
  <si>
    <t>Maximum annual demand for electricity generation from H2 by 2050 (TWh)</t>
  </si>
  <si>
    <t>Electricity generation from H2 in 2030 (TWh)</t>
  </si>
  <si>
    <t>Implied level of utilisation of hydrogen infrastructure in 2030</t>
  </si>
  <si>
    <t xml:space="preserve">Estimated capex required to meet 2030 H2 demand </t>
  </si>
  <si>
    <t>Estimated opex requirement to meet 2030 H2 demand</t>
  </si>
  <si>
    <t>Generation VOMs</t>
  </si>
  <si>
    <t>€m and £m</t>
  </si>
  <si>
    <t>Fuel and carbon variable operating costs</t>
  </si>
  <si>
    <t>Input from PLEXOS</t>
  </si>
  <si>
    <t>Emission Costs (€m)</t>
  </si>
  <si>
    <t>Fuel Costs (€m)</t>
  </si>
  <si>
    <t>Fuel + emissions VOM (€m)</t>
  </si>
  <si>
    <t>Emission Costs (£m)</t>
  </si>
  <si>
    <t>Fuel Costs (£m)</t>
  </si>
  <si>
    <t>Fuel + emissions VOM (£m)</t>
  </si>
  <si>
    <t>Constraint costs</t>
  </si>
  <si>
    <t>NESO modelling</t>
  </si>
  <si>
    <t>Thermal Constraints</t>
  </si>
  <si>
    <t>Total cost (incl. societal costs of carbon)</t>
  </si>
  <si>
    <t>Total (mGBP)</t>
  </si>
  <si>
    <t>CP30_Further Flex and Renewables</t>
  </si>
  <si>
    <t>CP30_New Dispatch</t>
  </si>
  <si>
    <t>Calculations</t>
  </si>
  <si>
    <t>Constraint costs from PLEXOS</t>
  </si>
  <si>
    <t>Carbon Correction (calculated internally)</t>
  </si>
  <si>
    <t>Calculation of carbon correction shown below</t>
  </si>
  <si>
    <t>Emissions-Dispatch_kg</t>
  </si>
  <si>
    <t>PLEXOS Modelling</t>
  </si>
  <si>
    <t>Emissions-Redispatch_kg</t>
  </si>
  <si>
    <t>Emissions-Delta_kg</t>
  </si>
  <si>
    <t>GreenBookCost_EurPerkg</t>
  </si>
  <si>
    <t>https://www.gov.uk/government/publications/valuing-greenhouse-gas-emissions-in-policy-appraisal/valuation-of-greenhouse-gas-emissions-for-policy-appraisal-and-evaluation#annex-1-carbon-values-in-2020-prices-per-tonne-of-co2</t>
  </si>
  <si>
    <t>2030 central, with GDP deflator and EUR/GBP conversion applied</t>
  </si>
  <si>
    <t>ModelledCost_EurPerkg</t>
  </si>
  <si>
    <t>Carbon_Correction_Eur</t>
  </si>
  <si>
    <t>CurrencyConversion_£perEur</t>
  </si>
  <si>
    <t>FES 2024</t>
  </si>
  <si>
    <t>Carbon_Correction_£mn</t>
  </si>
  <si>
    <t>Stability and voltage</t>
  </si>
  <si>
    <t>NOA projection (£m)</t>
  </si>
  <si>
    <t>23/24 prices</t>
  </si>
  <si>
    <t>Voltage constraints costs</t>
  </si>
  <si>
    <t>Stability constraints costs</t>
  </si>
  <si>
    <t>Import cost and export credit</t>
  </si>
  <si>
    <t>Unit:</t>
  </si>
  <si>
    <t>€m</t>
  </si>
  <si>
    <t>Plexos property:</t>
  </si>
  <si>
    <t>Import cost</t>
  </si>
  <si>
    <t>Sum of hourly</t>
  </si>
  <si>
    <t>Export credit / revenue</t>
  </si>
  <si>
    <t>Calculation of net import cost</t>
  </si>
  <si>
    <t>Net importcost (€m)</t>
  </si>
  <si>
    <t>Net import cost (£m)</t>
  </si>
  <si>
    <t>SMRC</t>
  </si>
  <si>
    <t>£/MWh</t>
  </si>
  <si>
    <t>See below</t>
  </si>
  <si>
    <t>SRMC of Gas Assets in 2030</t>
  </si>
  <si>
    <t>Low gas price sensitivities</t>
  </si>
  <si>
    <t>Central gas price</t>
  </si>
  <si>
    <t>High gas price</t>
  </si>
  <si>
    <t>Cost category</t>
  </si>
  <si>
    <t>CCGT - Max</t>
  </si>
  <si>
    <t>CCGT - Min</t>
  </si>
  <si>
    <t>Fuel cost</t>
  </si>
  <si>
    <t>Emission cost</t>
  </si>
  <si>
    <t>CO2 T&amp;S</t>
  </si>
  <si>
    <t>Other VOM</t>
  </si>
  <si>
    <t>Underlying assumptions</t>
  </si>
  <si>
    <t>Emission price</t>
  </si>
  <si>
    <t>£/tCO2</t>
  </si>
  <si>
    <t>Plexos model</t>
  </si>
  <si>
    <t>Fuel prices</t>
  </si>
  <si>
    <t>£/GJ</t>
  </si>
  <si>
    <t>Plexos model, taking monthly average</t>
  </si>
  <si>
    <t>Heat rate</t>
  </si>
  <si>
    <t>GJ/MWh</t>
  </si>
  <si>
    <t>Fuel emission intensity</t>
  </si>
  <si>
    <t>kg/GJ</t>
  </si>
  <si>
    <t>Emission capture rate</t>
  </si>
  <si>
    <t>CO2 T&amp;S cost</t>
  </si>
  <si>
    <t>kgCO2/MWh-e</t>
  </si>
  <si>
    <t>Flexibility deployment by scenario</t>
  </si>
  <si>
    <t>Pumped hydro</t>
  </si>
  <si>
    <t>Offshore network cost</t>
  </si>
  <si>
    <t>CAPEX share</t>
  </si>
  <si>
    <t>OPEX share</t>
  </si>
  <si>
    <t>OPEX scaling factors to account for current offshore capacity</t>
  </si>
  <si>
    <t>Deployment</t>
  </si>
  <si>
    <t>Scaling factors</t>
  </si>
  <si>
    <t>Captured Emissions</t>
  </si>
  <si>
    <t>tCO2/year</t>
  </si>
  <si>
    <t>Gross Production</t>
  </si>
  <si>
    <t>Capture rate - assumption</t>
  </si>
  <si>
    <t>MWh</t>
  </si>
  <si>
    <t xml:space="preserve">Note: </t>
  </si>
  <si>
    <t xml:space="preserve">Our economic costing analysis was carried out alongside finalisation of model runs for network analysis, meaning that there are some minor differences in the assumptions made for network analysis and economic costing. </t>
  </si>
  <si>
    <t>Cost price base</t>
  </si>
  <si>
    <t>Required additional capacity for pathway</t>
  </si>
  <si>
    <t>Technology cost inputs</t>
  </si>
  <si>
    <t>2030 dispatched volumes</t>
  </si>
  <si>
    <t>System Cost Contribution</t>
  </si>
  <si>
    <t>Total CAPEX - central</t>
  </si>
  <si>
    <t>Average CAPEX - central</t>
  </si>
  <si>
    <t>Annuitised CAPEX - central</t>
  </si>
  <si>
    <t>2030 FOM (new capacity)</t>
  </si>
  <si>
    <t>2030 FOM (existing capacity)</t>
  </si>
  <si>
    <t>2030 FOM (new + existing capacity)</t>
  </si>
  <si>
    <t>2030 VOM (excl. fuel and carbon costs)</t>
  </si>
  <si>
    <t>Annuitised CAPEX plus 2030 FOM &amp; non-fuel/carbon VOM</t>
  </si>
  <si>
    <t>-</t>
  </si>
  <si>
    <t>£ / MW</t>
  </si>
  <si>
    <t>£ / MW / yr</t>
  </si>
  <si>
    <t>Years</t>
  </si>
  <si>
    <t>Emitting dispatchable capacity</t>
  </si>
  <si>
    <t>Nuclear capacity</t>
  </si>
  <si>
    <t>Renewables</t>
  </si>
  <si>
    <t>Low-carbon dispatchable capacity</t>
  </si>
  <si>
    <t>Low-carbon flex capacity</t>
  </si>
  <si>
    <t>CAPEX Sensitivities</t>
  </si>
  <si>
    <t>Annuitised CAPEX plus 2030 FOM and VOM (incl. fuel and carbon VOM)</t>
  </si>
  <si>
    <t>Total CAPEX - low sensitivity</t>
  </si>
  <si>
    <t>Annuitised CAPEX - low sensitivity</t>
  </si>
  <si>
    <t>Annuitised CAPEX plus 2030 FOM &amp; non-fuel/carbon VOM - low sensitivity</t>
  </si>
  <si>
    <t>Total CAPEX - high sensitivity</t>
  </si>
  <si>
    <t>Annuitised CAPEX - high sensitivity</t>
  </si>
  <si>
    <t>Annuitised CAPEX plus 2030 FOM &amp; non-fuel/carbon VOM - high sensitivity</t>
  </si>
  <si>
    <t>2025-2030 CAPEX</t>
  </si>
  <si>
    <t>2025-2030 Average CAPEX</t>
  </si>
  <si>
    <t>Annutised CAPEX</t>
  </si>
  <si>
    <t>2030 OPEX</t>
  </si>
  <si>
    <t>System cost contribution</t>
  </si>
  <si>
    <t>Pathways</t>
  </si>
  <si>
    <t>Power networks</t>
  </si>
  <si>
    <t>Distribution</t>
  </si>
  <si>
    <t>Offshore</t>
  </si>
  <si>
    <t>Assumed cost per tCO2</t>
  </si>
  <si>
    <t>2030 emissions</t>
  </si>
  <si>
    <t>£/tCO2 (real 2024)</t>
  </si>
  <si>
    <t>tons</t>
  </si>
  <si>
    <t>CO2 Transport and Storage</t>
  </si>
  <si>
    <t>Central &amp; low case</t>
  </si>
  <si>
    <t>High case</t>
  </si>
  <si>
    <t>H2 Transport and Storage</t>
  </si>
  <si>
    <t>2030 Constraint costs</t>
  </si>
  <si>
    <t>Stability</t>
  </si>
  <si>
    <t>Voltage</t>
  </si>
  <si>
    <t>2030 Annuitised system cost (£m)</t>
  </si>
  <si>
    <t>2030 Annuitised system cost per useful energy (£/MWh)</t>
  </si>
  <si>
    <t>Capacity (CAPEX &amp; OPEX)</t>
  </si>
  <si>
    <t>Fuel</t>
  </si>
  <si>
    <t>Carbon</t>
  </si>
  <si>
    <t>Constraints</t>
  </si>
  <si>
    <t>Net import/export</t>
  </si>
  <si>
    <t>Network (CAPEX &amp; OPEX)</t>
  </si>
  <si>
    <t>2030 Useful Energy (TWh)</t>
  </si>
  <si>
    <t>Min sensitivity</t>
  </si>
  <si>
    <t>Max sensitivity</t>
  </si>
  <si>
    <t>Source: PLEXOS, Consumer Load + Electrolysis Load</t>
  </si>
  <si>
    <t>CAPEX Sensitivites</t>
  </si>
  <si>
    <t>2030 Annuitised system cost - Low CAPEX (£m)</t>
  </si>
  <si>
    <t>2030 Annuitised system cost per useful energy - Low CAPEX (£/MWh)</t>
  </si>
  <si>
    <t>2030 Annuitised system cost - High CAPEX (£m)</t>
  </si>
  <si>
    <t>2030 Annuitised system cost per useful energy - High CAPEX (£/MWh)</t>
  </si>
  <si>
    <t>Gas Price Sensitivities</t>
  </si>
  <si>
    <t>2030 Annuitised system cost - Low Gas (£m)</t>
  </si>
  <si>
    <t>2030 Annuitised system cost per useful energy - Low Gas (£/MWh)</t>
  </si>
  <si>
    <t>2030 Annuitised system cost - High Gas (£m)</t>
  </si>
  <si>
    <t>2030 Annuitised system cost per useful energy - High Gas (£/MWh)</t>
  </si>
  <si>
    <t>Simple High Gas Sensitivity</t>
  </si>
  <si>
    <t>2030 Annuitised system cost per useful energy (£m)</t>
  </si>
  <si>
    <t>additional gas</t>
  </si>
  <si>
    <t>Total (with additional gas)</t>
  </si>
  <si>
    <t>Outputs</t>
  </si>
  <si>
    <t>Dispatched volumes (high sensivity)</t>
  </si>
  <si>
    <t>Other</t>
  </si>
  <si>
    <t>Other renewable</t>
  </si>
  <si>
    <t>CHPs</t>
  </si>
  <si>
    <t>Hydrogen generation ​</t>
  </si>
  <si>
    <t>Emission costs</t>
  </si>
  <si>
    <t>Plexos property</t>
  </si>
  <si>
    <t>2030</t>
  </si>
  <si>
    <t>NOA projection (£mn)</t>
  </si>
  <si>
    <t>CF_v3</t>
  </si>
  <si>
    <t>PLEXOS output</t>
  </si>
  <si>
    <t xml:space="preserve">NESO modelling </t>
  </si>
  <si>
    <t>Emissions-DA_kg</t>
  </si>
  <si>
    <t>Emissions-BM_kg</t>
  </si>
  <si>
    <t>Internal team - based on confidential information</t>
  </si>
  <si>
    <t>CP2030 assumptions</t>
  </si>
  <si>
    <t>Note: The calculation of carbon correction was performed at an earlier stage, using £0.15/kg for the carbon cost in the CF instead of £0.17/kg, which was used to derive the PLEXOS thermal constraint cost.</t>
  </si>
  <si>
    <t>NESO Clean Power 2030 pathways (CP.Further Flex and Renewables/CP.New Dispatch), FES24 Data Workbook (HT-FES24/CP30.CF)</t>
  </si>
  <si>
    <t xml:space="preserve">The purpose of this worksheet is to collate input data associated with the various system cost components modelled in NESOs Clean Power 2030 pathways. The workbook rebases inputs to real 2024 terms before annutising and aggregating components to yield a total system cost for 2030. </t>
  </si>
  <si>
    <t>As DESNZ do not publish interconnector CAPEX, we have manually sourced the estimated costs of interconnector projects which enter operation between 2024 and 2030 in the CP 2030 pathways to incorporate this investment into our total system cost calculation. These projects include the 750 MW Mares projects, and the 1400 MW NeuConnect project.</t>
  </si>
  <si>
    <t>All pathways</t>
  </si>
  <si>
    <t>(OPEX share here only accounts for additional capacity to reach CP / CF pathways, not for OPEX of existing infrastructure. Factors below therefore scale additional capacity OPEX to account for existing OPEX also).</t>
  </si>
  <si>
    <t>Note: The reduced gas price sensitivity uses the constraint costs directly from Plexos. The central case and raised gas price sensitivity adjust the Plexos results for constraint costs to apply the full societal cost of carbon, consistent with other NESO processes.</t>
  </si>
  <si>
    <t>Baringa were contracted to support NESO 's cost analysis for CP30. Some elements of the cost calculations are derived from outputs from Baringa's proprietary models, as detailed in this workbook.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</si>
</sst>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Red]\-&quot;£&quot;#,##0.00"/>
    <numFmt numFmtId="43" formatCode="_-* #,##0.00_-;\-* #,##0.00_-;_-* &quot;-&quot;??_-;_-@_-"/>
    <numFmt numFmtId="164" formatCode="0.0"/>
    <numFmt numFmtId="165" formatCode="_-* #,##0_-;\-* #,##0_-;_-* &quot;-&quot;??_-;_-@_-"/>
    <numFmt numFmtId="166" formatCode="0.0%"/>
    <numFmt numFmtId="167" formatCode="0.000"/>
    <numFmt numFmtId="168" formatCode="#,##0.0"/>
    <numFmt numFmtId="169" formatCode="#,##0.000"/>
    <numFmt numFmtId="170" formatCode="_-* #,##0.0_-;\-* #,##0.0_-;_-* &quot;-&quot;??_-;_-@_-"/>
    <numFmt numFmtId="171" formatCode="&quot;£&quot;#,##0.00"/>
  </numFmts>
  <fonts count="43">
    <font>
      <sz val="11"/>
      <color theme="1"/>
      <name val="Aptos Narrow"/>
      <family val="2"/>
      <scheme val="minor"/>
    </font>
    <font>
      <b/>
      <sz val="11"/>
      <color theme="0"/>
      <name val="Aptos Narrow"/>
      <family val="2"/>
      <scheme val="minor"/>
    </font>
    <font>
      <b/>
      <sz val="11"/>
      <color theme="1"/>
      <name val="Aptos Narrow"/>
      <family val="2"/>
      <scheme val="minor"/>
    </font>
    <font>
      <b/>
      <sz val="18"/>
      <color theme="9"/>
      <name val="Aptos Narrow"/>
      <family val="2"/>
      <scheme val="minor"/>
    </font>
    <font>
      <sz val="11"/>
      <color theme="3"/>
      <name val="Aptos Narrow"/>
      <family val="2"/>
      <scheme val="minor"/>
    </font>
    <font>
      <sz val="11"/>
      <color theme="0"/>
      <name val="Aptos Narrow"/>
      <family val="2"/>
      <scheme val="minor"/>
    </font>
    <font>
      <sz val="11"/>
      <name val="Aptos Narrow"/>
      <family val="2"/>
      <scheme val="minor"/>
    </font>
    <font>
      <sz val="11"/>
      <color theme="1"/>
      <name val="Aptos Narrow"/>
      <family val="2"/>
      <scheme val="minor"/>
    </font>
    <font>
      <u/>
      <sz val="11"/>
      <color theme="10"/>
      <name val="Aptos Narrow"/>
      <family val="2"/>
      <scheme val="minor"/>
    </font>
    <font>
      <b/>
      <sz val="11"/>
      <color theme="0" tint="-0.34998626667073579"/>
      <name val="Aptos Narrow"/>
      <family val="2"/>
      <scheme val="minor"/>
    </font>
    <font>
      <sz val="11"/>
      <color theme="0" tint="-0.34998626667073579"/>
      <name val="Aptos Narrow"/>
      <family val="2"/>
      <scheme val="minor"/>
    </font>
    <font>
      <i/>
      <sz val="11"/>
      <color theme="1"/>
      <name val="Aptos Narrow"/>
      <family val="2"/>
      <scheme val="minor"/>
    </font>
    <font>
      <sz val="11"/>
      <color theme="1"/>
      <name val="Aptos Narrow"/>
      <family val="2"/>
    </font>
    <font>
      <b/>
      <sz val="11"/>
      <color rgb="FFFFFFFF"/>
      <name val="Aptos Narrow"/>
      <family val="2"/>
    </font>
    <font>
      <sz val="11"/>
      <color rgb="FF000000"/>
      <name val="Calibri"/>
      <family val="2"/>
    </font>
    <font>
      <b/>
      <sz val="11"/>
      <color rgb="FF000000"/>
      <name val="Calibri"/>
      <family val="2"/>
    </font>
    <font>
      <sz val="11"/>
      <color rgb="FF000000"/>
      <name val="Aptos Narrow"/>
      <family val="2"/>
      <scheme val="minor"/>
    </font>
    <font>
      <b/>
      <sz val="11"/>
      <name val="Calibri"/>
      <family val="2"/>
    </font>
    <font>
      <sz val="11"/>
      <name val="Aptos Narrow"/>
      <family val="2"/>
    </font>
    <font>
      <b/>
      <sz val="11"/>
      <name val="Aptos Narrow"/>
      <family val="2"/>
      <scheme val="minor"/>
    </font>
    <font>
      <sz val="11"/>
      <color theme="1"/>
      <name val="Calibri"/>
      <family val="2"/>
    </font>
    <font>
      <b/>
      <sz val="11"/>
      <color theme="1"/>
      <name val="Calibri"/>
      <family val="2"/>
    </font>
    <font>
      <u/>
      <sz val="11"/>
      <color theme="1"/>
      <name val="Aptos Narrow"/>
      <family val="2"/>
      <scheme val="minor"/>
    </font>
    <font>
      <sz val="11"/>
      <color theme="8"/>
      <name val="Aptos Narrow"/>
      <family val="2"/>
      <scheme val="minor"/>
    </font>
    <font>
      <i/>
      <sz val="11"/>
      <color theme="8"/>
      <name val="Aptos Narrow"/>
      <family val="2"/>
      <scheme val="minor"/>
    </font>
    <font>
      <b/>
      <i/>
      <sz val="11"/>
      <color theme="8"/>
      <name val="Aptos Narrow"/>
      <family val="2"/>
      <scheme val="minor"/>
    </font>
    <font>
      <b/>
      <sz val="11"/>
      <name val="Aptos Narrow"/>
      <family val="2"/>
    </font>
    <font>
      <sz val="11"/>
      <color theme="8"/>
      <name val="Aptos Narrow"/>
      <family val="2"/>
    </font>
    <font>
      <sz val="12"/>
      <color theme="1"/>
      <name val="CenturyGothic"/>
      <family val="2"/>
    </font>
    <font>
      <sz val="11"/>
      <color rgb="FFFF0000"/>
      <name val="Aptos Narrow"/>
      <family val="2"/>
      <scheme val="minor"/>
    </font>
    <font>
      <b/>
      <u/>
      <sz val="11"/>
      <color theme="1"/>
      <name val="Aptos Narrow"/>
      <family val="2"/>
      <scheme val="minor"/>
    </font>
    <font>
      <b/>
      <i/>
      <sz val="11"/>
      <color theme="1"/>
      <name val="Aptos Narrow"/>
      <family val="2"/>
      <scheme val="minor"/>
    </font>
    <font>
      <sz val="11"/>
      <color theme="1"/>
      <name val="Poppins"/>
    </font>
    <font>
      <sz val="10"/>
      <color rgb="FF454546"/>
      <name val="Poppins"/>
    </font>
    <font>
      <b/>
      <sz val="20"/>
      <color theme="0"/>
      <name val="Poppins"/>
    </font>
    <font>
      <b/>
      <sz val="14"/>
      <color theme="0"/>
      <name val="Poppins"/>
    </font>
    <font>
      <sz val="11"/>
      <color rgb="FF454546"/>
      <name val="Poppins"/>
    </font>
    <font>
      <b/>
      <u/>
      <sz val="11"/>
      <color rgb="FF454546"/>
      <name val="Poppins"/>
    </font>
    <font>
      <b/>
      <sz val="11"/>
      <color rgb="FF454546"/>
      <name val="Poppins"/>
    </font>
    <font>
      <b/>
      <sz val="11"/>
      <color rgb="FF000000"/>
      <name val="Aptos Narrow"/>
      <family val="2"/>
      <scheme val="minor"/>
    </font>
    <font>
      <b/>
      <i/>
      <sz val="11"/>
      <color rgb="FF000000"/>
      <name val="Calibri"/>
      <family val="2"/>
    </font>
    <font>
      <sz val="11"/>
      <color theme="8"/>
      <name val="Calibri"/>
      <family val="2"/>
    </font>
    <font>
      <sz val="11"/>
      <color rgb="FF000000"/>
      <name val="Calibri"/>
    </font>
  </fonts>
  <fills count="23">
    <fill>
      <patternFill patternType="none"/>
    </fill>
    <fill>
      <patternFill patternType="gray125"/>
    </fill>
    <fill>
      <patternFill patternType="solid">
        <fgColor theme="0" tint="-0.14999847407452621"/>
        <bgColor indexed="64"/>
      </patternFill>
    </fill>
    <fill>
      <patternFill patternType="solid">
        <fgColor theme="9"/>
        <bgColor indexed="64"/>
      </patternFill>
    </fill>
    <fill>
      <patternFill patternType="solid">
        <fgColor theme="8" tint="0.79998168889431442"/>
        <bgColor indexed="64"/>
      </patternFill>
    </fill>
    <fill>
      <patternFill patternType="solid">
        <fgColor theme="8"/>
        <bgColor indexed="64"/>
      </patternFill>
    </fill>
    <fill>
      <patternFill patternType="solid">
        <fgColor theme="2"/>
        <bgColor indexed="64"/>
      </patternFill>
    </fill>
    <fill>
      <patternFill patternType="solid">
        <fgColor theme="3"/>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A02B93"/>
        <bgColor rgb="FF000000"/>
      </patternFill>
    </fill>
    <fill>
      <patternFill patternType="solid">
        <fgColor theme="4" tint="0.499984740745262"/>
        <bgColor indexed="64"/>
      </patternFill>
    </fill>
    <fill>
      <patternFill patternType="solid">
        <fgColor theme="4"/>
        <bgColor indexed="64"/>
      </patternFill>
    </fill>
    <fill>
      <patternFill patternType="solid">
        <fgColor theme="4" tint="0.749992370372631"/>
        <bgColor indexed="64"/>
      </patternFill>
    </fill>
    <fill>
      <patternFill patternType="solid">
        <fgColor theme="4" tint="0.89999084444715716"/>
        <bgColor indexed="64"/>
      </patternFill>
    </fill>
    <fill>
      <patternFill patternType="solid">
        <fgColor rgb="FFED7D31"/>
        <bgColor rgb="FFED7D31"/>
      </patternFill>
    </fill>
    <fill>
      <patternFill patternType="solid">
        <fgColor theme="8"/>
        <bgColor rgb="FF000000"/>
      </patternFill>
    </fill>
    <fill>
      <patternFill patternType="solid">
        <fgColor rgb="FFF5F5F5"/>
        <bgColor rgb="FF000000"/>
      </patternFill>
    </fill>
    <fill>
      <patternFill patternType="solid">
        <fgColor theme="6"/>
        <bgColor indexed="64"/>
      </patternFill>
    </fill>
    <fill>
      <patternFill patternType="solid">
        <fgColor theme="6" tint="0.79998168889431442"/>
        <bgColor indexed="64"/>
      </patternFill>
    </fill>
    <fill>
      <patternFill patternType="solid">
        <fgColor theme="0" tint="-0.14999847407452621"/>
        <bgColor rgb="FF000000"/>
      </patternFill>
    </fill>
    <fill>
      <patternFill patternType="solid">
        <fgColor theme="9" tint="0.79998168889431442"/>
        <bgColor indexed="64"/>
      </patternFill>
    </fill>
    <fill>
      <patternFill patternType="solid">
        <fgColor rgb="FF783864"/>
        <bgColor indexed="64"/>
      </patternFill>
    </fill>
  </fills>
  <borders count="25">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rgb="FF363636"/>
      </left>
      <right style="thin">
        <color rgb="FF363636"/>
      </right>
      <top style="thin">
        <color rgb="FF363636"/>
      </top>
      <bottom style="thin">
        <color rgb="FF363636"/>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theme="0" tint="-0.34998626667073579"/>
      </right>
      <top/>
      <bottom/>
      <diagonal/>
    </border>
    <border>
      <left/>
      <right style="thin">
        <color theme="0" tint="-0.34998626667073579"/>
      </right>
      <top style="thin">
        <color indexed="64"/>
      </top>
      <bottom/>
      <diagonal/>
    </border>
    <border>
      <left style="thin">
        <color theme="0" tint="-0.34998626667073579"/>
      </left>
      <right/>
      <top/>
      <bottom/>
      <diagonal/>
    </border>
    <border>
      <left style="thin">
        <color theme="0" tint="-0.34998626667073579"/>
      </left>
      <right/>
      <top style="thin">
        <color indexed="64"/>
      </top>
      <bottom/>
      <diagonal/>
    </border>
    <border>
      <left/>
      <right/>
      <top style="thin">
        <color rgb="FFED7D31"/>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tint="-0.34998626667073579"/>
      </left>
      <right style="thin">
        <color indexed="64"/>
      </right>
      <top/>
      <bottom/>
      <diagonal/>
    </border>
    <border>
      <left style="thin">
        <color theme="0" tint="-0.34998626667073579"/>
      </left>
      <right/>
      <top/>
      <bottom style="thin">
        <color indexed="64"/>
      </bottom>
      <diagonal/>
    </border>
  </borders>
  <cellStyleXfs count="6">
    <xf numFmtId="0" fontId="0" fillId="0" borderId="0"/>
    <xf numFmtId="43" fontId="7" fillId="0" borderId="0" applyFont="0" applyFill="0" applyBorder="0" applyAlignment="0" applyProtection="0"/>
    <xf numFmtId="0" fontId="8" fillId="0" borderId="0" applyNumberFormat="0" applyFill="0" applyBorder="0" applyAlignment="0" applyProtection="0"/>
    <xf numFmtId="9" fontId="7" fillId="0" borderId="0" applyFont="0" applyFill="0" applyBorder="0" applyAlignment="0" applyProtection="0"/>
    <xf numFmtId="0" fontId="28" fillId="0" borderId="0"/>
    <xf numFmtId="0" fontId="7" fillId="0" borderId="0"/>
  </cellStyleXfs>
  <cellXfs count="241">
    <xf numFmtId="0" fontId="0" fillId="0" borderId="0" xfId="0"/>
    <xf numFmtId="0" fontId="0" fillId="2" borderId="0" xfId="0" applyFill="1"/>
    <xf numFmtId="0" fontId="0" fillId="3" borderId="0" xfId="0" applyFill="1"/>
    <xf numFmtId="0" fontId="1" fillId="3" borderId="0" xfId="0" applyFont="1" applyFill="1"/>
    <xf numFmtId="164" fontId="0" fillId="0" borderId="0" xfId="0" applyNumberFormat="1"/>
    <xf numFmtId="0" fontId="2" fillId="0" borderId="0" xfId="0" applyFont="1"/>
    <xf numFmtId="0" fontId="3" fillId="2" borderId="0" xfId="0" applyFont="1" applyFill="1"/>
    <xf numFmtId="2" fontId="4" fillId="0" borderId="0" xfId="0" applyNumberFormat="1" applyFont="1"/>
    <xf numFmtId="0" fontId="0" fillId="6" borderId="0" xfId="0" applyFill="1"/>
    <xf numFmtId="0" fontId="1" fillId="6" borderId="0" xfId="0" applyFont="1" applyFill="1"/>
    <xf numFmtId="0" fontId="1" fillId="0" borderId="0" xfId="0" applyFont="1"/>
    <xf numFmtId="0" fontId="5" fillId="6" borderId="0" xfId="0" applyFont="1" applyFill="1"/>
    <xf numFmtId="2" fontId="0" fillId="0" borderId="0" xfId="0" applyNumberFormat="1"/>
    <xf numFmtId="1" fontId="0" fillId="0" borderId="0" xfId="0" applyNumberFormat="1"/>
    <xf numFmtId="10" fontId="0" fillId="0" borderId="0" xfId="0" applyNumberFormat="1"/>
    <xf numFmtId="0" fontId="0" fillId="0" borderId="0" xfId="0" quotePrefix="1"/>
    <xf numFmtId="0" fontId="0" fillId="0" borderId="0" xfId="0" applyAlignment="1">
      <alignment horizontal="right"/>
    </xf>
    <xf numFmtId="165" fontId="0" fillId="0" borderId="0" xfId="1" applyNumberFormat="1" applyFont="1"/>
    <xf numFmtId="0" fontId="8" fillId="0" borderId="0" xfId="2"/>
    <xf numFmtId="0" fontId="0" fillId="7" borderId="0" xfId="0" applyFill="1"/>
    <xf numFmtId="0" fontId="1" fillId="7" borderId="0" xfId="0" applyFont="1" applyFill="1"/>
    <xf numFmtId="2" fontId="6" fillId="0" borderId="0" xfId="0" applyNumberFormat="1" applyFont="1"/>
    <xf numFmtId="1" fontId="6" fillId="0" borderId="0" xfId="0" applyNumberFormat="1" applyFont="1"/>
    <xf numFmtId="0" fontId="9" fillId="0" borderId="0" xfId="0" applyFont="1"/>
    <xf numFmtId="0" fontId="2" fillId="0" borderId="0" xfId="0" applyFont="1" applyAlignment="1">
      <alignment horizontal="right"/>
    </xf>
    <xf numFmtId="0" fontId="6" fillId="0" borderId="0" xfId="0" applyFont="1"/>
    <xf numFmtId="166" fontId="0" fillId="0" borderId="0" xfId="0" applyNumberFormat="1"/>
    <xf numFmtId="9" fontId="0" fillId="0" borderId="0" xfId="0" applyNumberFormat="1"/>
    <xf numFmtId="167" fontId="0" fillId="0" borderId="0" xfId="0" applyNumberFormat="1"/>
    <xf numFmtId="0" fontId="2" fillId="8" borderId="0" xfId="0" applyFont="1" applyFill="1" applyAlignment="1">
      <alignment vertical="center" wrapText="1"/>
    </xf>
    <xf numFmtId="0" fontId="2" fillId="9" borderId="0" xfId="0" applyFont="1" applyFill="1" applyAlignment="1">
      <alignment vertical="center" wrapText="1"/>
    </xf>
    <xf numFmtId="0" fontId="2" fillId="4" borderId="0" xfId="0" applyFont="1" applyFill="1" applyAlignment="1">
      <alignment vertical="center" wrapText="1"/>
    </xf>
    <xf numFmtId="0" fontId="0" fillId="0" borderId="1" xfId="0" applyBorder="1"/>
    <xf numFmtId="0" fontId="6" fillId="0" borderId="1" xfId="0" applyFont="1" applyBorder="1"/>
    <xf numFmtId="0" fontId="10" fillId="0" borderId="1" xfId="0" applyFont="1" applyBorder="1"/>
    <xf numFmtId="1" fontId="0" fillId="0" borderId="1" xfId="0" applyNumberFormat="1" applyBorder="1"/>
    <xf numFmtId="0" fontId="10" fillId="0" borderId="0" xfId="0" applyFont="1"/>
    <xf numFmtId="166" fontId="0" fillId="0" borderId="1" xfId="0" applyNumberFormat="1" applyBorder="1"/>
    <xf numFmtId="0" fontId="11" fillId="0" borderId="0" xfId="0" applyFont="1"/>
    <xf numFmtId="0" fontId="0" fillId="0" borderId="0" xfId="0" applyAlignment="1">
      <alignment horizontal="left"/>
    </xf>
    <xf numFmtId="8" fontId="0" fillId="0" borderId="0" xfId="0" applyNumberFormat="1"/>
    <xf numFmtId="1" fontId="2" fillId="0" borderId="0" xfId="0" applyNumberFormat="1" applyFont="1"/>
    <xf numFmtId="0" fontId="1" fillId="5" borderId="0" xfId="0" applyFont="1" applyFill="1"/>
    <xf numFmtId="0" fontId="12" fillId="0" borderId="0" xfId="0" applyFont="1"/>
    <xf numFmtId="0" fontId="13" fillId="10" borderId="0" xfId="0" applyFont="1" applyFill="1"/>
    <xf numFmtId="43" fontId="12" fillId="0" borderId="0" xfId="1" applyFont="1" applyFill="1" applyBorder="1"/>
    <xf numFmtId="3" fontId="0" fillId="0" borderId="0" xfId="0" applyNumberFormat="1"/>
    <xf numFmtId="0" fontId="14" fillId="0" borderId="0" xfId="0" applyFont="1" applyAlignment="1">
      <alignment horizontal="right"/>
    </xf>
    <xf numFmtId="0" fontId="14" fillId="0" borderId="0" xfId="0" applyFont="1"/>
    <xf numFmtId="0" fontId="14" fillId="0" borderId="0" xfId="0" applyFont="1" applyAlignment="1">
      <alignment horizontal="left"/>
    </xf>
    <xf numFmtId="0" fontId="1" fillId="11" borderId="0" xfId="0" applyFont="1" applyFill="1"/>
    <xf numFmtId="0" fontId="1" fillId="12" borderId="0" xfId="0" applyFont="1" applyFill="1"/>
    <xf numFmtId="0" fontId="0" fillId="13" borderId="0" xfId="0" applyFill="1"/>
    <xf numFmtId="0" fontId="0" fillId="14" borderId="0" xfId="0" applyFill="1"/>
    <xf numFmtId="0" fontId="1" fillId="12" borderId="4" xfId="0" applyFont="1" applyFill="1" applyBorder="1"/>
    <xf numFmtId="0" fontId="1" fillId="11" borderId="4" xfId="0" applyFont="1" applyFill="1" applyBorder="1"/>
    <xf numFmtId="0" fontId="0" fillId="13" borderId="4" xfId="0" applyFill="1" applyBorder="1"/>
    <xf numFmtId="0" fontId="0" fillId="14" borderId="4" xfId="0" applyFill="1" applyBorder="1"/>
    <xf numFmtId="1" fontId="0" fillId="0" borderId="4" xfId="0" applyNumberFormat="1" applyBorder="1"/>
    <xf numFmtId="3" fontId="0" fillId="0" borderId="4" xfId="0" applyNumberFormat="1" applyBorder="1"/>
    <xf numFmtId="3" fontId="2" fillId="0" borderId="0" xfId="0" applyNumberFormat="1" applyFont="1"/>
    <xf numFmtId="0" fontId="13" fillId="0" borderId="0" xfId="0" applyFont="1"/>
    <xf numFmtId="0" fontId="16" fillId="0" borderId="0" xfId="0" applyFont="1"/>
    <xf numFmtId="3" fontId="12" fillId="0" borderId="0" xfId="0" applyNumberFormat="1" applyFont="1"/>
    <xf numFmtId="3" fontId="2" fillId="0" borderId="5" xfId="0" applyNumberFormat="1" applyFont="1" applyBorder="1"/>
    <xf numFmtId="3" fontId="2" fillId="0" borderId="6" xfId="0" applyNumberFormat="1" applyFont="1" applyBorder="1"/>
    <xf numFmtId="0" fontId="13" fillId="0" borderId="0" xfId="0" applyFont="1" applyAlignment="1">
      <alignment wrapText="1"/>
    </xf>
    <xf numFmtId="43" fontId="12" fillId="0" borderId="0" xfId="0" applyNumberFormat="1" applyFont="1"/>
    <xf numFmtId="0" fontId="2" fillId="0" borderId="1" xfId="0" applyFont="1" applyBorder="1"/>
    <xf numFmtId="3" fontId="2" fillId="0" borderId="7" xfId="0" applyNumberFormat="1" applyFont="1" applyBorder="1"/>
    <xf numFmtId="3" fontId="2" fillId="0" borderId="1" xfId="0" applyNumberFormat="1" applyFont="1" applyBorder="1"/>
    <xf numFmtId="0" fontId="0" fillId="0" borderId="7" xfId="0" applyBorder="1"/>
    <xf numFmtId="0" fontId="2" fillId="0" borderId="1" xfId="0" applyFont="1" applyBorder="1" applyAlignment="1">
      <alignment horizontal="left"/>
    </xf>
    <xf numFmtId="3" fontId="0" fillId="0" borderId="7" xfId="0" applyNumberFormat="1" applyBorder="1"/>
    <xf numFmtId="3" fontId="0" fillId="0" borderId="1" xfId="0" applyNumberFormat="1" applyBorder="1"/>
    <xf numFmtId="0" fontId="1" fillId="11" borderId="8" xfId="0" applyFont="1" applyFill="1" applyBorder="1"/>
    <xf numFmtId="0" fontId="0" fillId="13" borderId="8" xfId="0" applyFill="1" applyBorder="1"/>
    <xf numFmtId="0" fontId="0" fillId="14" borderId="8" xfId="0" applyFill="1" applyBorder="1"/>
    <xf numFmtId="3" fontId="0" fillId="0" borderId="9" xfId="0" applyNumberFormat="1" applyBorder="1"/>
    <xf numFmtId="3" fontId="0" fillId="0" borderId="8" xfId="0" applyNumberFormat="1" applyBorder="1"/>
    <xf numFmtId="3" fontId="2" fillId="0" borderId="9" xfId="0" applyNumberFormat="1" applyFont="1" applyBorder="1"/>
    <xf numFmtId="0" fontId="0" fillId="13" borderId="10" xfId="0" applyFill="1" applyBorder="1"/>
    <xf numFmtId="0" fontId="0" fillId="14" borderId="10" xfId="0" applyFill="1" applyBorder="1"/>
    <xf numFmtId="3" fontId="0" fillId="0" borderId="11" xfId="0" applyNumberFormat="1" applyBorder="1"/>
    <xf numFmtId="3" fontId="0" fillId="0" borderId="10" xfId="0" applyNumberFormat="1" applyBorder="1"/>
    <xf numFmtId="3" fontId="2" fillId="0" borderId="11" xfId="0" applyNumberFormat="1" applyFont="1" applyBorder="1"/>
    <xf numFmtId="0" fontId="1" fillId="11" borderId="10" xfId="0" applyFont="1" applyFill="1" applyBorder="1"/>
    <xf numFmtId="0" fontId="17" fillId="15" borderId="0" xfId="0" applyFont="1" applyFill="1" applyAlignment="1">
      <alignment horizontal="center"/>
    </xf>
    <xf numFmtId="0" fontId="17" fillId="15" borderId="12" xfId="0" applyFont="1" applyFill="1" applyBorder="1" applyAlignment="1">
      <alignment horizontal="center"/>
    </xf>
    <xf numFmtId="0" fontId="14" fillId="0" borderId="0" xfId="0" applyFont="1" applyAlignment="1">
      <alignment horizontal="center"/>
    </xf>
    <xf numFmtId="4" fontId="14" fillId="0" borderId="0" xfId="0" applyNumberFormat="1" applyFont="1" applyAlignment="1">
      <alignment horizontal="center"/>
    </xf>
    <xf numFmtId="4" fontId="14" fillId="0" borderId="0" xfId="0" applyNumberFormat="1" applyFont="1" applyAlignment="1">
      <alignment horizontal="right"/>
    </xf>
    <xf numFmtId="3" fontId="14" fillId="0" borderId="0" xfId="0" applyNumberFormat="1" applyFont="1"/>
    <xf numFmtId="0" fontId="6" fillId="0" borderId="0" xfId="0" applyFont="1" applyAlignment="1">
      <alignment horizontal="right"/>
    </xf>
    <xf numFmtId="0" fontId="1" fillId="0" borderId="0" xfId="0" applyFont="1" applyAlignment="1">
      <alignment horizontal="right"/>
    </xf>
    <xf numFmtId="0" fontId="15" fillId="0" borderId="0" xfId="0" applyFont="1" applyAlignment="1">
      <alignment horizontal="right"/>
    </xf>
    <xf numFmtId="0" fontId="13" fillId="16" borderId="0" xfId="0" applyFont="1" applyFill="1"/>
    <xf numFmtId="0" fontId="13" fillId="7" borderId="0" xfId="0" applyFont="1" applyFill="1"/>
    <xf numFmtId="0" fontId="12" fillId="7" borderId="0" xfId="0" applyFont="1" applyFill="1"/>
    <xf numFmtId="168" fontId="0" fillId="0" borderId="0" xfId="0" applyNumberFormat="1"/>
    <xf numFmtId="169" fontId="0" fillId="0" borderId="0" xfId="0" applyNumberFormat="1"/>
    <xf numFmtId="0" fontId="14" fillId="17" borderId="3" xfId="0" applyFont="1" applyFill="1" applyBorder="1" applyAlignment="1">
      <alignment horizontal="center"/>
    </xf>
    <xf numFmtId="0" fontId="5" fillId="0" borderId="0" xfId="0" applyFont="1"/>
    <xf numFmtId="17" fontId="0" fillId="2" borderId="0" xfId="0" applyNumberFormat="1" applyFill="1"/>
    <xf numFmtId="0" fontId="1" fillId="18" borderId="0" xfId="0" applyFont="1" applyFill="1"/>
    <xf numFmtId="0" fontId="0" fillId="0" borderId="0" xfId="0" applyAlignment="1">
      <alignment horizontal="left" indent="1"/>
    </xf>
    <xf numFmtId="0" fontId="12" fillId="0" borderId="0" xfId="0" quotePrefix="1" applyFont="1"/>
    <xf numFmtId="165" fontId="12" fillId="0" borderId="0" xfId="1" applyNumberFormat="1" applyFont="1" applyFill="1" applyBorder="1"/>
    <xf numFmtId="43" fontId="0" fillId="0" borderId="0" xfId="0" applyNumberFormat="1"/>
    <xf numFmtId="0" fontId="0" fillId="0" borderId="4" xfId="0" applyBorder="1"/>
    <xf numFmtId="0" fontId="0" fillId="0" borderId="13" xfId="0" applyBorder="1"/>
    <xf numFmtId="9" fontId="0" fillId="0" borderId="0" xfId="0" applyNumberFormat="1" applyAlignment="1">
      <alignment horizontal="right"/>
    </xf>
    <xf numFmtId="0" fontId="10" fillId="0" borderId="0" xfId="0" applyFont="1" applyAlignment="1">
      <alignment horizontal="right"/>
    </xf>
    <xf numFmtId="2" fontId="10" fillId="0" borderId="0" xfId="0" applyNumberFormat="1" applyFont="1"/>
    <xf numFmtId="9" fontId="10" fillId="0" borderId="0" xfId="0" applyNumberFormat="1" applyFont="1" applyAlignment="1">
      <alignment horizontal="right"/>
    </xf>
    <xf numFmtId="0" fontId="18" fillId="0" borderId="0" xfId="0" applyFont="1"/>
    <xf numFmtId="0" fontId="19" fillId="0" borderId="0" xfId="0" applyFont="1"/>
    <xf numFmtId="0" fontId="20" fillId="0" borderId="0" xfId="0" applyFont="1" applyAlignment="1">
      <alignment vertical="center"/>
    </xf>
    <xf numFmtId="171" fontId="0" fillId="0" borderId="0" xfId="0" applyNumberFormat="1"/>
    <xf numFmtId="43" fontId="0" fillId="0" borderId="0" xfId="1" applyFont="1"/>
    <xf numFmtId="9" fontId="20" fillId="0" borderId="0" xfId="0" applyNumberFormat="1" applyFont="1" applyAlignment="1">
      <alignment vertical="center"/>
    </xf>
    <xf numFmtId="165" fontId="0" fillId="0" borderId="0" xfId="1" applyNumberFormat="1" applyFont="1" applyFill="1"/>
    <xf numFmtId="9" fontId="0" fillId="0" borderId="0" xfId="3" applyFont="1"/>
    <xf numFmtId="4" fontId="14" fillId="0" borderId="0" xfId="0" applyNumberFormat="1" applyFont="1"/>
    <xf numFmtId="165" fontId="0" fillId="0" borderId="0" xfId="0" applyNumberFormat="1"/>
    <xf numFmtId="1" fontId="0" fillId="0" borderId="0" xfId="0" applyNumberFormat="1" applyAlignment="1">
      <alignment horizontal="left"/>
    </xf>
    <xf numFmtId="9" fontId="21" fillId="0" borderId="0" xfId="0" applyNumberFormat="1" applyFont="1" applyAlignment="1">
      <alignment vertical="center"/>
    </xf>
    <xf numFmtId="0" fontId="8" fillId="0" borderId="0" xfId="2" applyFill="1"/>
    <xf numFmtId="0" fontId="22" fillId="0" borderId="0" xfId="0" applyFont="1"/>
    <xf numFmtId="0" fontId="0" fillId="0" borderId="6" xfId="0" applyBorder="1"/>
    <xf numFmtId="0" fontId="17" fillId="0" borderId="0" xfId="0" applyFont="1" applyAlignment="1">
      <alignment horizontal="center"/>
    </xf>
    <xf numFmtId="0" fontId="6" fillId="2" borderId="0" xfId="0" applyFont="1" applyFill="1"/>
    <xf numFmtId="0" fontId="24" fillId="0" borderId="0" xfId="0" applyFont="1"/>
    <xf numFmtId="3" fontId="25" fillId="0" borderId="0" xfId="0" applyNumberFormat="1" applyFont="1"/>
    <xf numFmtId="168" fontId="23" fillId="0" borderId="0" xfId="0" applyNumberFormat="1" applyFont="1"/>
    <xf numFmtId="3" fontId="23" fillId="0" borderId="0" xfId="0" applyNumberFormat="1" applyFont="1"/>
    <xf numFmtId="0" fontId="23" fillId="0" borderId="0" xfId="0" applyFont="1"/>
    <xf numFmtId="2" fontId="23" fillId="0" borderId="0" xfId="0" applyNumberFormat="1" applyFont="1"/>
    <xf numFmtId="164" fontId="23" fillId="0" borderId="0" xfId="0" applyNumberFormat="1" applyFont="1"/>
    <xf numFmtId="1" fontId="23" fillId="0" borderId="0" xfId="0" applyNumberFormat="1" applyFont="1"/>
    <xf numFmtId="166" fontId="6" fillId="0" borderId="1" xfId="0" applyNumberFormat="1" applyFont="1" applyBorder="1"/>
    <xf numFmtId="0" fontId="26" fillId="0" borderId="15" xfId="0" applyFont="1" applyBorder="1"/>
    <xf numFmtId="0" fontId="6" fillId="2" borderId="16" xfId="0" applyFont="1" applyFill="1" applyBorder="1"/>
    <xf numFmtId="0" fontId="23" fillId="0" borderId="16" xfId="0" applyFont="1" applyBorder="1"/>
    <xf numFmtId="0" fontId="6" fillId="0" borderId="17" xfId="0" applyFont="1" applyBorder="1"/>
    <xf numFmtId="10" fontId="0" fillId="2" borderId="0" xfId="0" applyNumberFormat="1" applyFill="1"/>
    <xf numFmtId="9" fontId="0" fillId="2" borderId="0" xfId="0" applyNumberFormat="1" applyFill="1"/>
    <xf numFmtId="10" fontId="23" fillId="0" borderId="0" xfId="0" applyNumberFormat="1" applyFont="1"/>
    <xf numFmtId="164" fontId="0" fillId="2" borderId="0" xfId="0" applyNumberFormat="1" applyFill="1"/>
    <xf numFmtId="0" fontId="0" fillId="19" borderId="0" xfId="0" applyFill="1"/>
    <xf numFmtId="0" fontId="15" fillId="0" borderId="2" xfId="0" applyFont="1" applyBorder="1"/>
    <xf numFmtId="0" fontId="14" fillId="20" borderId="2" xfId="0" applyFont="1" applyFill="1" applyBorder="1" applyAlignment="1">
      <alignment horizontal="right"/>
    </xf>
    <xf numFmtId="0" fontId="14" fillId="20" borderId="2" xfId="0" applyFont="1" applyFill="1" applyBorder="1"/>
    <xf numFmtId="164" fontId="23" fillId="0" borderId="6" xfId="0" applyNumberFormat="1" applyFont="1" applyBorder="1"/>
    <xf numFmtId="1" fontId="0" fillId="2" borderId="0" xfId="0" applyNumberFormat="1" applyFill="1"/>
    <xf numFmtId="1" fontId="6" fillId="2" borderId="0" xfId="0" applyNumberFormat="1" applyFont="1" applyFill="1"/>
    <xf numFmtId="0" fontId="0" fillId="2" borderId="1" xfId="0" applyFill="1" applyBorder="1"/>
    <xf numFmtId="1" fontId="0" fillId="2" borderId="1" xfId="0" applyNumberFormat="1" applyFill="1" applyBorder="1"/>
    <xf numFmtId="166" fontId="0" fillId="2" borderId="1" xfId="0" applyNumberFormat="1" applyFill="1" applyBorder="1"/>
    <xf numFmtId="1" fontId="23" fillId="0" borderId="1" xfId="0" applyNumberFormat="1" applyFont="1" applyBorder="1"/>
    <xf numFmtId="0" fontId="2" fillId="8" borderId="14" xfId="0" applyFont="1" applyFill="1" applyBorder="1" applyAlignment="1">
      <alignment vertical="center" wrapText="1"/>
    </xf>
    <xf numFmtId="0" fontId="0" fillId="2" borderId="0" xfId="0" quotePrefix="1" applyFill="1"/>
    <xf numFmtId="170" fontId="23" fillId="0" borderId="0" xfId="1" applyNumberFormat="1" applyFont="1"/>
    <xf numFmtId="3" fontId="27" fillId="0" borderId="0" xfId="0" applyNumberFormat="1" applyFont="1"/>
    <xf numFmtId="2" fontId="23" fillId="0" borderId="0" xfId="0" applyNumberFormat="1" applyFont="1" applyAlignment="1">
      <alignment horizontal="left"/>
    </xf>
    <xf numFmtId="0" fontId="6" fillId="19" borderId="0" xfId="0" applyFont="1" applyFill="1"/>
    <xf numFmtId="4" fontId="0" fillId="19" borderId="0" xfId="0" applyNumberFormat="1" applyFill="1"/>
    <xf numFmtId="3" fontId="2" fillId="0" borderId="18" xfId="0" applyNumberFormat="1" applyFont="1" applyBorder="1"/>
    <xf numFmtId="0" fontId="18" fillId="19" borderId="0" xfId="0" applyFont="1" applyFill="1"/>
    <xf numFmtId="2" fontId="18" fillId="19" borderId="0" xfId="0" applyNumberFormat="1" applyFont="1" applyFill="1"/>
    <xf numFmtId="22" fontId="2" fillId="0" borderId="0" xfId="0" applyNumberFormat="1" applyFont="1" applyAlignment="1">
      <alignment horizontal="left"/>
    </xf>
    <xf numFmtId="10" fontId="0" fillId="0" borderId="0" xfId="3" applyNumberFormat="1" applyFont="1"/>
    <xf numFmtId="1" fontId="2" fillId="0" borderId="1" xfId="0" applyNumberFormat="1" applyFont="1" applyBorder="1"/>
    <xf numFmtId="1" fontId="2" fillId="0" borderId="9" xfId="0" applyNumberFormat="1" applyFont="1" applyBorder="1"/>
    <xf numFmtId="1" fontId="0" fillId="0" borderId="20" xfId="0" applyNumberFormat="1" applyBorder="1"/>
    <xf numFmtId="1" fontId="0" fillId="0" borderId="14" xfId="0" applyNumberFormat="1" applyBorder="1"/>
    <xf numFmtId="1" fontId="0" fillId="0" borderId="21" xfId="0" applyNumberFormat="1" applyBorder="1"/>
    <xf numFmtId="1" fontId="0" fillId="0" borderId="22" xfId="0" applyNumberFormat="1" applyBorder="1"/>
    <xf numFmtId="165" fontId="27" fillId="0" borderId="0" xfId="1" applyNumberFormat="1" applyFont="1" applyFill="1" applyBorder="1"/>
    <xf numFmtId="165" fontId="12" fillId="19" borderId="0" xfId="1" applyNumberFormat="1" applyFont="1" applyFill="1"/>
    <xf numFmtId="9" fontId="12" fillId="2" borderId="0" xfId="0" applyNumberFormat="1" applyFont="1" applyFill="1"/>
    <xf numFmtId="10" fontId="12" fillId="2" borderId="0" xfId="0" applyNumberFormat="1" applyFont="1" applyFill="1"/>
    <xf numFmtId="0" fontId="0" fillId="0" borderId="0" xfId="0" applyAlignment="1">
      <alignment vertical="center"/>
    </xf>
    <xf numFmtId="0" fontId="30" fillId="0" borderId="0" xfId="0" applyFont="1"/>
    <xf numFmtId="0" fontId="0" fillId="0" borderId="14" xfId="0" applyBorder="1"/>
    <xf numFmtId="165" fontId="0" fillId="0" borderId="14" xfId="1" applyNumberFormat="1" applyFont="1" applyBorder="1"/>
    <xf numFmtId="9" fontId="0" fillId="2" borderId="0" xfId="3" applyFont="1" applyFill="1"/>
    <xf numFmtId="2" fontId="23" fillId="0" borderId="0" xfId="0" applyNumberFormat="1" applyFont="1" applyAlignment="1">
      <alignment horizontal="right"/>
    </xf>
    <xf numFmtId="1" fontId="19" fillId="0" borderId="0" xfId="0" applyNumberFormat="1" applyFont="1" applyAlignment="1">
      <alignment horizontal="right" indent="1"/>
    </xf>
    <xf numFmtId="0" fontId="11" fillId="0" borderId="0" xfId="0" applyFont="1" applyAlignment="1">
      <alignment vertical="center"/>
    </xf>
    <xf numFmtId="2" fontId="11" fillId="0" borderId="0" xfId="0" applyNumberFormat="1" applyFont="1"/>
    <xf numFmtId="1" fontId="11" fillId="0" borderId="0" xfId="0" applyNumberFormat="1" applyFont="1"/>
    <xf numFmtId="0" fontId="2" fillId="5" borderId="0" xfId="0" applyFont="1" applyFill="1"/>
    <xf numFmtId="0" fontId="2" fillId="0" borderId="0" xfId="0" applyFont="1" applyAlignment="1">
      <alignment horizontal="left" indent="1"/>
    </xf>
    <xf numFmtId="1" fontId="0" fillId="0" borderId="10" xfId="0" applyNumberFormat="1" applyBorder="1"/>
    <xf numFmtId="0" fontId="1" fillId="12" borderId="7" xfId="0" applyFont="1" applyFill="1" applyBorder="1"/>
    <xf numFmtId="0" fontId="1" fillId="12" borderId="1" xfId="0" applyFont="1" applyFill="1" applyBorder="1"/>
    <xf numFmtId="0" fontId="1" fillId="12" borderId="13" xfId="0" applyFont="1" applyFill="1" applyBorder="1"/>
    <xf numFmtId="0" fontId="1" fillId="11" borderId="21" xfId="0" applyFont="1" applyFill="1" applyBorder="1"/>
    <xf numFmtId="0" fontId="0" fillId="13" borderId="21" xfId="0" applyFill="1" applyBorder="1"/>
    <xf numFmtId="3" fontId="0" fillId="0" borderId="13" xfId="0" applyNumberFormat="1" applyBorder="1"/>
    <xf numFmtId="1" fontId="0" fillId="0" borderId="23" xfId="0" applyNumberFormat="1" applyBorder="1"/>
    <xf numFmtId="1" fontId="0" fillId="0" borderId="24" xfId="0" applyNumberFormat="1" applyBorder="1"/>
    <xf numFmtId="0" fontId="0" fillId="14" borderId="21" xfId="0" applyFill="1" applyBorder="1"/>
    <xf numFmtId="3" fontId="0" fillId="0" borderId="20" xfId="0" applyNumberFormat="1" applyBorder="1"/>
    <xf numFmtId="3" fontId="2" fillId="0" borderId="10" xfId="0" applyNumberFormat="1" applyFont="1" applyBorder="1"/>
    <xf numFmtId="3" fontId="0" fillId="0" borderId="21" xfId="0" applyNumberFormat="1" applyBorder="1"/>
    <xf numFmtId="3" fontId="0" fillId="0" borderId="14" xfId="0" applyNumberFormat="1" applyBorder="1"/>
    <xf numFmtId="3" fontId="0" fillId="0" borderId="22" xfId="0" applyNumberFormat="1" applyBorder="1"/>
    <xf numFmtId="0" fontId="0" fillId="18" borderId="0" xfId="0" applyFill="1"/>
    <xf numFmtId="2" fontId="0" fillId="2" borderId="0" xfId="0" applyNumberFormat="1" applyFill="1"/>
    <xf numFmtId="0" fontId="26" fillId="0" borderId="0" xfId="0" applyFont="1"/>
    <xf numFmtId="0" fontId="17" fillId="0" borderId="0" xfId="0" applyFont="1" applyAlignment="1">
      <alignment horizontal="left" vertical="center"/>
    </xf>
    <xf numFmtId="0" fontId="15" fillId="0" borderId="0" xfId="0" applyFont="1"/>
    <xf numFmtId="0" fontId="11" fillId="21" borderId="0" xfId="0" applyFont="1" applyFill="1" applyAlignment="1">
      <alignment vertical="center"/>
    </xf>
    <xf numFmtId="2" fontId="11" fillId="21" borderId="0" xfId="0" applyNumberFormat="1" applyFont="1" applyFill="1"/>
    <xf numFmtId="0" fontId="33" fillId="22" borderId="0" xfId="0" applyFont="1" applyFill="1"/>
    <xf numFmtId="0" fontId="34" fillId="22" borderId="0" xfId="0" applyFont="1" applyFill="1"/>
    <xf numFmtId="0" fontId="35" fillId="22" borderId="0" xfId="0" applyFont="1" applyFill="1"/>
    <xf numFmtId="0" fontId="36" fillId="0" borderId="0" xfId="0" applyFont="1"/>
    <xf numFmtId="0" fontId="37" fillId="0" borderId="0" xfId="0" applyFont="1"/>
    <xf numFmtId="0" fontId="32" fillId="0" borderId="0" xfId="0" applyFont="1"/>
    <xf numFmtId="0" fontId="31" fillId="0" borderId="0" xfId="0" applyFont="1"/>
    <xf numFmtId="0" fontId="39" fillId="0" borderId="0" xfId="0" applyFont="1"/>
    <xf numFmtId="0" fontId="19" fillId="0" borderId="0" xfId="0" applyFont="1" applyAlignment="1">
      <alignment horizontal="right"/>
    </xf>
    <xf numFmtId="4" fontId="15" fillId="9" borderId="19" xfId="0" applyNumberFormat="1" applyFont="1" applyFill="1" applyBorder="1"/>
    <xf numFmtId="0" fontId="40" fillId="0" borderId="0" xfId="0" applyFont="1"/>
    <xf numFmtId="2" fontId="14" fillId="0" borderId="0" xfId="0" applyNumberFormat="1" applyFont="1"/>
    <xf numFmtId="1" fontId="14" fillId="14" borderId="0" xfId="0" applyNumberFormat="1" applyFont="1" applyFill="1"/>
    <xf numFmtId="2" fontId="14" fillId="20" borderId="2" xfId="0" applyNumberFormat="1" applyFont="1" applyFill="1" applyBorder="1" applyAlignment="1">
      <alignment horizontal="right"/>
    </xf>
    <xf numFmtId="164" fontId="14" fillId="20" borderId="2" xfId="0" applyNumberFormat="1" applyFont="1" applyFill="1" applyBorder="1" applyAlignment="1">
      <alignment horizontal="right"/>
    </xf>
    <xf numFmtId="1" fontId="41" fillId="0" borderId="0" xfId="0" applyNumberFormat="1" applyFont="1"/>
    <xf numFmtId="2" fontId="41" fillId="0" borderId="0" xfId="0" applyNumberFormat="1" applyFont="1"/>
    <xf numFmtId="4" fontId="0" fillId="0" borderId="0" xfId="0" applyNumberFormat="1"/>
    <xf numFmtId="0" fontId="42" fillId="0" borderId="0" xfId="0" applyFont="1"/>
    <xf numFmtId="4" fontId="0" fillId="0" borderId="0" xfId="0" applyNumberFormat="1" applyFill="1"/>
    <xf numFmtId="43" fontId="11" fillId="0" borderId="0" xfId="0" applyNumberFormat="1" applyFont="1"/>
    <xf numFmtId="2" fontId="14" fillId="0" borderId="0" xfId="0" applyNumberFormat="1" applyFont="1" applyFill="1"/>
    <xf numFmtId="2" fontId="42" fillId="0" borderId="0" xfId="0" applyNumberFormat="1" applyFont="1" applyFill="1"/>
    <xf numFmtId="0" fontId="36" fillId="0" borderId="0" xfId="0" applyFont="1" applyAlignment="1">
      <alignment horizontal="left" vertical="top" wrapText="1"/>
    </xf>
    <xf numFmtId="0" fontId="0" fillId="0" borderId="14" xfId="0" applyBorder="1" applyAlignment="1">
      <alignment horizontal="center"/>
    </xf>
  </cellXfs>
  <cellStyles count="6">
    <cellStyle name="Comma" xfId="1" builtinId="3"/>
    <cellStyle name="Hyperlink" xfId="2" builtinId="8"/>
    <cellStyle name="Normal" xfId="0" builtinId="0"/>
    <cellStyle name="Normal 2" xfId="4" xr:uid="{CAE1071F-D117-460F-9221-555C58A3FAEB}"/>
    <cellStyle name="Normal 28" xfId="5" xr:uid="{3EE028BA-B911-4CC4-B300-86C52844FA3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3"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304800</xdr:colOff>
      <xdr:row>9</xdr:row>
      <xdr:rowOff>24765</xdr:rowOff>
    </xdr:from>
    <xdr:to>
      <xdr:col>5</xdr:col>
      <xdr:colOff>133350</xdr:colOff>
      <xdr:row>14</xdr:row>
      <xdr:rowOff>1314450</xdr:rowOff>
    </xdr:to>
    <xdr:pic>
      <xdr:nvPicPr>
        <xdr:cNvPr id="2" name="Picture 1">
          <a:extLst>
            <a:ext uri="{FF2B5EF4-FFF2-40B4-BE49-F238E27FC236}">
              <a16:creationId xmlns:a16="http://schemas.microsoft.com/office/drawing/2014/main" id="{0484393F-9D4A-4EFF-AD82-60B2296124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4880" y="2585085"/>
          <a:ext cx="4076700" cy="2581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rkyv\CheckOut\Long-term%20model%202009%7bdb5-doc3966101-ma1-mi14%7d.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Carbon Price Floor"/>
      <sheetName val="Baseline results"/>
      <sheetName val="DECC Summary"/>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CASHFLOW Gen Income"/>
      <sheetName val="USGC"/>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 sheetId="89" refreshError="1"/>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3 Page 1"/>
      <sheetName val="FC Page 1"/>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HGSPD19.FIN"/>
      <sheetName val="T3 Page 1"/>
      <sheetName val="HIS19FIN(A)"/>
      <sheetName val="FC Page 1"/>
      <sheetName val="4.6 ten year bonds"/>
      <sheetName val="Population"/>
      <sheetName val="UK99"/>
      <sheetName val="IPE-Data-from webpage"/>
      <sheetName val="Wholesale Raw"/>
      <sheetName val="1.1"/>
      <sheetName val="Carbon Budget clearance (Nov)"/>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ulation"/>
      <sheetName val="RESULT 09"/>
      <sheetName val="Charts"/>
      <sheetName val="Scenarios"/>
      <sheetName val="Projections"/>
      <sheetName val="Calculation"/>
      <sheetName val="Latest"/>
      <sheetName val="Latest check"/>
      <sheetName val="PSF"/>
      <sheetName val="Nom. Input"/>
      <sheetName val="Profiles"/>
      <sheetName val="Social sec &amp; TC"/>
      <sheetName val="Pub.sec.pensions"/>
      <sheetName val="Health"/>
      <sheetName val="Death"/>
      <sheetName val="Education"/>
      <sheetName val="TREND"/>
      <sheetName val="RESULT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theme/theme1.xml><?xml version="1.0" encoding="utf-8"?>
<a:theme xmlns:a="http://schemas.openxmlformats.org/drawingml/2006/main" name="Office Theme">
  <a:themeElements>
    <a:clrScheme name="Baringa Colours">
      <a:dk1>
        <a:sysClr val="windowText" lastClr="000000"/>
      </a:dk1>
      <a:lt1>
        <a:sysClr val="window" lastClr="FFFFFF"/>
      </a:lt1>
      <a:dk2>
        <a:srgbClr val="00487C"/>
      </a:dk2>
      <a:lt2>
        <a:srgbClr val="333333"/>
      </a:lt2>
      <a:accent1>
        <a:srgbClr val="00294F"/>
      </a:accent1>
      <a:accent2>
        <a:srgbClr val="00487C"/>
      </a:accent2>
      <a:accent3>
        <a:srgbClr val="00AEEF"/>
      </a:accent3>
      <a:accent4>
        <a:srgbClr val="6A2152"/>
      </a:accent4>
      <a:accent5>
        <a:srgbClr val="E50083"/>
      </a:accent5>
      <a:accent6>
        <a:srgbClr val="333333"/>
      </a:accent6>
      <a:hlink>
        <a:srgbClr val="00487C"/>
      </a:hlink>
      <a:folHlink>
        <a:srgbClr val="00294F"/>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sciencedirect.com/science/article/pii/S0959652623042427?via%3Dihub" TargetMode="External"/><Relationship Id="rId2" Type="http://schemas.openxmlformats.org/officeDocument/2006/relationships/hyperlink" Target="file:///C:\Users\xingliang.fang\Downloads\https___es.catapult.org.uk_wp-content_uploads_2022_04_ESME_v4.5_Data_References_Book.pdf" TargetMode="External"/><Relationship Id="rId1" Type="http://schemas.openxmlformats.org/officeDocument/2006/relationships/hyperlink" Target="https://www.eti.co.uk/programmes/carbon-capture-storage/strategic-uk-ccs-storage-appraisal" TargetMode="External"/><Relationship Id="rId5" Type="http://schemas.openxmlformats.org/officeDocument/2006/relationships/printerSettings" Target="../printerSettings/printerSettings10.bin"/><Relationship Id="rId4" Type="http://schemas.openxmlformats.org/officeDocument/2006/relationships/hyperlink" Target="https://pureportal.strath.ac.uk/en/publications/industrial-carbon-capture-utilisation-and-storage-in-the-uk-the-i"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gov.uk/government/publications/valuing-greenhouse-gas-emissions-in-policy-appraisal/valuation-of-greenhouse-gas-emissions-for-policy-appraisal-and-evaluation"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eti.co.uk/programmes/carbon-capture-storage/strategic-uk-ccs-storage-appraisal"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hyperlink" Target="https://www.gov.uk/government/publications/valuing-greenhouse-gas-emissions-in-policy-appraisal/valuation-of-greenhouse-gas-emissions-for-policy-appraisal-and-evaluation"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ofgem.gov.uk/decision/riio-ed2-final-determinations" TargetMode="External"/><Relationship Id="rId3" Type="http://schemas.openxmlformats.org/officeDocument/2006/relationships/hyperlink" Target="https://www.ofgem.gov.uk/sites/default/files/2024-07/RIIO-3_SSMD_Finance_Annex.pdf" TargetMode="External"/><Relationship Id="rId7" Type="http://schemas.openxmlformats.org/officeDocument/2006/relationships/hyperlink" Target="https://www.ofgem.gov.uk/sites/default/files/docs/2021/02/final_determinations_et_annex_revised.pdf" TargetMode="External"/><Relationship Id="rId2" Type="http://schemas.openxmlformats.org/officeDocument/2006/relationships/hyperlink" Target="https://www.oxera.com/insights/agenda/articles/riio-ed2-draft-determinations/" TargetMode="External"/><Relationship Id="rId1" Type="http://schemas.openxmlformats.org/officeDocument/2006/relationships/hyperlink" Target="https://www.ofgem.gov.uk/sites/default/files/2022-11/RIIO-ED2%20Final%20Determinations%20Finance%20Annex.pdf" TargetMode="External"/><Relationship Id="rId6" Type="http://schemas.openxmlformats.org/officeDocument/2006/relationships/hyperlink" Target="https://www.ofgem.gov.uk/sites/default/files/2024-07/RIIO-3_SSMD_Finance_Annex.pdf" TargetMode="External"/><Relationship Id="rId5" Type="http://schemas.openxmlformats.org/officeDocument/2006/relationships/hyperlink" Target="https://www.ofgem.gov.uk/sites/default/files/2024-07/RIIO-3_SSMD_Finance_Annex.pdf" TargetMode="External"/><Relationship Id="rId4" Type="http://schemas.openxmlformats.org/officeDocument/2006/relationships/hyperlink" Target="https://www.ofgem.gov.uk/sites/default/files/2024-07/RIIO-3_SSMD_Finance_Annex.pdf" TargetMode="External"/><Relationship Id="rId9"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ofgem.gov.uk/sites/default/files/2022-06/Neuconnect%20Final%20Project%20Assessment%20decision1656590974415.pdf" TargetMode="External"/><Relationship Id="rId1" Type="http://schemas.openxmlformats.org/officeDocument/2006/relationships/hyperlink" Target="https://maresconnect.ie/"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nrel.gov/docs/fy23osti/85332.pdf"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view.officeapps.live.com/op/view.aspx?src=https%3A%2F%2Fassets.publishing.service.gov.uk%2Fmedia%2F5ce55ca0ed915d247979f938%2FGeneration_Costs_Report_2016_Annexes.xlsx&amp;wdOrigin=BROWSELINK" TargetMode="External"/><Relationship Id="rId2" Type="http://schemas.openxmlformats.org/officeDocument/2006/relationships/hyperlink" Target="https://view.officeapps.live.com/op/view.aspx?src=https%3A%2F%2Fassets.publishing.service.gov.uk%2Fmedia%2F5f450d378fa8f55de885e1b8%2FGC20_Key_Data_and_Assumptions.xlsx&amp;wdOrigin=BROWSELINK" TargetMode="External"/><Relationship Id="rId1" Type="http://schemas.openxmlformats.org/officeDocument/2006/relationships/hyperlink" Target="https://view.officeapps.live.com/op/view.aspx?src=https%3A%2F%2Fassets.publishing.service.gov.uk%2Fmedia%2F6555cb6d046ed4000d8b99bb%2Fannex-a-additional-estimates-and-key-assumptions.xlsx&amp;wdOrigin=BROWSELINK" TargetMode="External"/><Relationship Id="rId6" Type="http://schemas.openxmlformats.org/officeDocument/2006/relationships/printerSettings" Target="../printerSettings/printerSettings9.bin"/><Relationship Id="rId5" Type="http://schemas.openxmlformats.org/officeDocument/2006/relationships/hyperlink" Target="https://assets.publishing.service.gov.uk/media/5f3cf6c9d3bf7f1b0fa7a165/storage-costs-technical-assumptions-2018.pdf" TargetMode="External"/><Relationship Id="rId4" Type="http://schemas.openxmlformats.org/officeDocument/2006/relationships/hyperlink" Target="https://view.officeapps.live.com/op/view.aspx?src=https%3A%2F%2Fassets.publishing.service.gov.uk%2Fmedia%2F611a706ed3bf7f63a7b29216%2FHydrogen_Production_Cost_2021_Annex.xlsx&amp;wdOrigin=BROWSELIN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0A13-7531-4B92-A1BC-785631EFA593}">
  <sheetPr codeName="Sheet1"/>
  <dimension ref="A1:L17"/>
  <sheetViews>
    <sheetView tabSelected="1" zoomScaleNormal="100" workbookViewId="0">
      <selection activeCell="B7" sqref="B7"/>
    </sheetView>
  </sheetViews>
  <sheetFormatPr defaultColWidth="9.25" defaultRowHeight="21.5"/>
  <cols>
    <col min="1" max="1" width="9.25" style="221"/>
    <col min="2" max="2" width="17.25" style="221" customWidth="1"/>
    <col min="3" max="3" width="12.25" style="221" customWidth="1"/>
    <col min="4" max="4" width="23" style="221" customWidth="1"/>
    <col min="5" max="10" width="9.25" style="221"/>
    <col min="11" max="11" width="23.25" style="221" customWidth="1"/>
    <col min="12" max="16384" width="9.25" style="221"/>
  </cols>
  <sheetData>
    <row r="1" spans="1:12" s="216" customFormat="1" ht="38">
      <c r="B1" s="217" t="s">
        <v>0</v>
      </c>
      <c r="C1" s="218"/>
    </row>
    <row r="4" spans="1:12">
      <c r="A4" s="219"/>
      <c r="B4" s="220" t="s">
        <v>1</v>
      </c>
      <c r="C4" s="219"/>
      <c r="D4" s="219"/>
      <c r="E4" s="219"/>
      <c r="F4" s="219"/>
      <c r="G4" s="219"/>
      <c r="H4" s="219"/>
      <c r="I4" s="219"/>
      <c r="J4" s="219"/>
      <c r="K4" s="219"/>
      <c r="L4" s="219"/>
    </row>
    <row r="5" spans="1:12">
      <c r="A5" s="219"/>
      <c r="B5" s="219" t="s">
        <v>2</v>
      </c>
      <c r="C5" s="219"/>
      <c r="D5" s="219"/>
      <c r="E5" s="219"/>
      <c r="F5" s="219"/>
      <c r="G5" s="219"/>
      <c r="H5" s="219"/>
      <c r="I5" s="219"/>
      <c r="J5" s="219"/>
      <c r="K5" s="219"/>
      <c r="L5" s="219"/>
    </row>
    <row r="6" spans="1:12">
      <c r="A6" s="219"/>
      <c r="B6" s="219" t="s">
        <v>488</v>
      </c>
      <c r="C6" s="219"/>
      <c r="D6" s="219"/>
      <c r="E6" s="219"/>
      <c r="F6" s="219"/>
      <c r="G6" s="219"/>
      <c r="H6" s="219"/>
      <c r="I6" s="219"/>
      <c r="J6" s="219"/>
      <c r="K6" s="219"/>
      <c r="L6" s="219"/>
    </row>
    <row r="7" spans="1:12">
      <c r="A7" s="219"/>
      <c r="B7" s="219" t="s">
        <v>493</v>
      </c>
      <c r="C7" s="219"/>
      <c r="D7" s="219"/>
      <c r="E7" s="219"/>
      <c r="F7" s="219"/>
      <c r="G7" s="219"/>
      <c r="H7" s="219"/>
      <c r="I7" s="219"/>
      <c r="J7" s="219"/>
      <c r="K7" s="219"/>
      <c r="L7" s="219"/>
    </row>
    <row r="8" spans="1:12">
      <c r="A8" s="219"/>
      <c r="B8" s="219" t="s">
        <v>3</v>
      </c>
      <c r="C8" s="219"/>
      <c r="D8" s="219"/>
      <c r="E8" s="219"/>
      <c r="F8" s="219"/>
      <c r="G8" s="219"/>
      <c r="H8" s="219"/>
      <c r="I8" s="219"/>
      <c r="J8" s="219"/>
      <c r="K8" s="219"/>
      <c r="L8" s="219"/>
    </row>
    <row r="9" spans="1:12">
      <c r="A9" s="219"/>
      <c r="B9" s="219"/>
      <c r="C9" s="219"/>
      <c r="D9" s="220"/>
      <c r="E9" s="220"/>
      <c r="F9" s="219"/>
      <c r="G9" s="219"/>
      <c r="H9" s="219"/>
      <c r="I9" s="219"/>
      <c r="J9" s="219"/>
      <c r="K9" s="219"/>
      <c r="L9" s="219"/>
    </row>
    <row r="10" spans="1:12">
      <c r="A10" s="219"/>
      <c r="B10" s="219"/>
      <c r="C10" s="219"/>
      <c r="D10" s="219"/>
      <c r="E10" s="219"/>
      <c r="F10" s="219"/>
      <c r="G10" s="219"/>
      <c r="H10" s="219"/>
      <c r="I10" s="219"/>
      <c r="J10" s="219"/>
      <c r="K10" s="219"/>
      <c r="L10" s="219"/>
    </row>
    <row r="11" spans="1:12">
      <c r="A11" s="219"/>
      <c r="B11" s="219"/>
      <c r="C11" s="219"/>
      <c r="D11" s="219"/>
      <c r="E11" s="219"/>
      <c r="F11" s="219"/>
      <c r="G11" s="219"/>
      <c r="H11" s="219"/>
      <c r="I11" s="219"/>
      <c r="J11" s="219"/>
      <c r="K11" s="219"/>
      <c r="L11" s="219"/>
    </row>
    <row r="12" spans="1:12">
      <c r="A12" s="219"/>
      <c r="B12" s="219"/>
      <c r="C12" s="219"/>
      <c r="D12" s="219"/>
      <c r="E12" s="219"/>
      <c r="F12" s="219"/>
      <c r="G12" s="219"/>
      <c r="H12" s="219"/>
      <c r="I12" s="219"/>
      <c r="J12" s="219"/>
      <c r="K12" s="219"/>
      <c r="L12" s="219"/>
    </row>
    <row r="13" spans="1:12">
      <c r="A13" s="219"/>
      <c r="B13" s="219"/>
      <c r="C13" s="219"/>
      <c r="D13" s="219"/>
      <c r="E13" s="219"/>
      <c r="F13" s="219"/>
      <c r="G13" s="219"/>
      <c r="H13" s="219"/>
      <c r="I13" s="219"/>
      <c r="J13" s="219"/>
      <c r="K13" s="219"/>
      <c r="L13" s="219"/>
    </row>
    <row r="14" spans="1:12">
      <c r="A14" s="219"/>
      <c r="B14" s="220"/>
      <c r="C14" s="219"/>
      <c r="D14" s="219"/>
      <c r="E14" s="219"/>
      <c r="F14" s="219"/>
      <c r="G14" s="219"/>
      <c r="H14" s="219"/>
      <c r="I14" s="219"/>
      <c r="J14" s="219"/>
      <c r="K14" s="219"/>
      <c r="L14" s="219"/>
    </row>
    <row r="15" spans="1:12" ht="378.75" customHeight="1">
      <c r="A15" s="219"/>
      <c r="B15" s="239"/>
      <c r="C15" s="239"/>
      <c r="D15" s="239"/>
      <c r="E15" s="239"/>
      <c r="F15" s="239"/>
      <c r="G15" s="239"/>
      <c r="H15" s="239"/>
      <c r="I15" s="239"/>
      <c r="J15" s="239"/>
      <c r="K15" s="239"/>
      <c r="L15" s="219"/>
    </row>
    <row r="16" spans="1:12">
      <c r="A16" s="219"/>
      <c r="B16" s="219"/>
      <c r="C16" s="219"/>
      <c r="D16" s="219"/>
      <c r="E16" s="219"/>
      <c r="F16" s="219"/>
      <c r="G16" s="219"/>
      <c r="H16" s="219"/>
      <c r="I16" s="219"/>
      <c r="J16" s="219"/>
      <c r="K16" s="219"/>
      <c r="L16" s="219"/>
    </row>
    <row r="17" spans="1:12">
      <c r="A17" s="219"/>
      <c r="B17" s="219"/>
      <c r="C17" s="219"/>
      <c r="D17" s="219"/>
      <c r="E17" s="219"/>
      <c r="F17" s="219"/>
      <c r="G17" s="219"/>
      <c r="H17" s="219"/>
      <c r="I17" s="219"/>
      <c r="J17" s="219"/>
      <c r="K17" s="219"/>
      <c r="L17" s="219"/>
    </row>
  </sheetData>
  <mergeCells count="1">
    <mergeCell ref="B15:K15"/>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76137-986F-4837-AF55-BED19F556F13}">
  <sheetPr codeName="Sheet11"/>
  <dimension ref="C1:L50"/>
  <sheetViews>
    <sheetView topLeftCell="A22" workbookViewId="0"/>
  </sheetViews>
  <sheetFormatPr defaultRowHeight="14"/>
  <cols>
    <col min="1" max="1" width="1.75" customWidth="1"/>
    <col min="2" max="2" width="10.75" customWidth="1"/>
    <col min="3" max="3" width="59" bestFit="1" customWidth="1"/>
    <col min="4" max="4" width="21.75" customWidth="1"/>
    <col min="5" max="5" width="23.75" customWidth="1"/>
    <col min="6" max="6" width="19.75" customWidth="1"/>
    <col min="7" max="11" width="18.25" customWidth="1"/>
  </cols>
  <sheetData>
    <row r="1" spans="3:12" ht="10.4" customHeight="1"/>
    <row r="3" spans="3:12" s="19" customFormat="1">
      <c r="C3" s="20" t="s">
        <v>263</v>
      </c>
    </row>
    <row r="5" spans="3:12">
      <c r="C5" s="96" t="s">
        <v>264</v>
      </c>
    </row>
    <row r="7" spans="3:12">
      <c r="C7" s="211" t="s">
        <v>194</v>
      </c>
      <c r="D7" s="211" t="s">
        <v>265</v>
      </c>
      <c r="E7" s="211" t="s">
        <v>138</v>
      </c>
      <c r="F7" s="211" t="s">
        <v>8</v>
      </c>
      <c r="G7" s="211" t="s">
        <v>70</v>
      </c>
      <c r="H7" s="211" t="s">
        <v>17</v>
      </c>
      <c r="L7" t="s">
        <v>266</v>
      </c>
    </row>
    <row r="8" spans="3:12">
      <c r="C8" t="s">
        <v>267</v>
      </c>
      <c r="D8" t="s">
        <v>268</v>
      </c>
      <c r="E8" t="s">
        <v>269</v>
      </c>
      <c r="F8" s="18" t="s">
        <v>270</v>
      </c>
      <c r="G8" s="15">
        <v>2016</v>
      </c>
      <c r="H8" s="161" t="s">
        <v>271</v>
      </c>
      <c r="I8" s="161">
        <v>10.94</v>
      </c>
      <c r="J8" s="161">
        <v>18.27</v>
      </c>
      <c r="K8" s="136">
        <f>AVERAGE(I8:J8)</f>
        <v>14.605</v>
      </c>
      <c r="L8" s="18" t="s">
        <v>272</v>
      </c>
    </row>
    <row r="9" spans="3:12">
      <c r="C9" t="s">
        <v>267</v>
      </c>
      <c r="D9" t="s">
        <v>61</v>
      </c>
      <c r="E9" t="s">
        <v>273</v>
      </c>
      <c r="F9" s="18" t="s">
        <v>274</v>
      </c>
      <c r="G9">
        <v>2024</v>
      </c>
      <c r="K9" s="136">
        <v>78.19</v>
      </c>
      <c r="L9" s="18" t="s">
        <v>275</v>
      </c>
    </row>
    <row r="11" spans="3:12">
      <c r="C11" s="96" t="s">
        <v>54</v>
      </c>
    </row>
    <row r="12" spans="3:12">
      <c r="C12" s="10"/>
    </row>
    <row r="13" spans="3:12">
      <c r="C13" s="116" t="s">
        <v>194</v>
      </c>
      <c r="D13" s="116" t="s">
        <v>138</v>
      </c>
      <c r="E13" s="116" t="s">
        <v>89</v>
      </c>
      <c r="F13" s="116" t="s">
        <v>17</v>
      </c>
    </row>
    <row r="14" spans="3:12">
      <c r="C14" t="s">
        <v>276</v>
      </c>
      <c r="D14" t="s">
        <v>273</v>
      </c>
      <c r="E14" t="s">
        <v>268</v>
      </c>
      <c r="F14" s="162">
        <f>K8/'XR&amp;Inflation'!$J$16</f>
        <v>18.760604791688753</v>
      </c>
    </row>
    <row r="15" spans="3:12">
      <c r="C15" t="s">
        <v>276</v>
      </c>
      <c r="D15" t="s">
        <v>273</v>
      </c>
      <c r="E15" t="s">
        <v>61</v>
      </c>
      <c r="F15" s="162">
        <f>E25</f>
        <v>78.194650817236251</v>
      </c>
    </row>
    <row r="16" spans="3:12">
      <c r="C16" s="10"/>
    </row>
    <row r="17" spans="3:9">
      <c r="C17" s="10"/>
    </row>
    <row r="18" spans="3:9">
      <c r="C18" s="96" t="s">
        <v>277</v>
      </c>
    </row>
    <row r="19" spans="3:9">
      <c r="C19" t="s">
        <v>278</v>
      </c>
    </row>
    <row r="20" spans="3:9">
      <c r="D20" s="5" t="s">
        <v>138</v>
      </c>
      <c r="E20" s="5" t="s">
        <v>279</v>
      </c>
    </row>
    <row r="21" spans="3:9">
      <c r="C21" t="s">
        <v>280</v>
      </c>
      <c r="D21" t="s">
        <v>81</v>
      </c>
      <c r="E21">
        <v>3047</v>
      </c>
    </row>
    <row r="22" spans="3:9">
      <c r="C22" t="s">
        <v>281</v>
      </c>
      <c r="D22" t="s">
        <v>81</v>
      </c>
      <c r="E22">
        <v>4210</v>
      </c>
    </row>
    <row r="23" spans="3:9">
      <c r="C23" t="s">
        <v>282</v>
      </c>
      <c r="D23" t="s">
        <v>81</v>
      </c>
      <c r="E23">
        <v>431</v>
      </c>
    </row>
    <row r="24" spans="3:9">
      <c r="C24" t="s">
        <v>283</v>
      </c>
      <c r="D24" t="s">
        <v>284</v>
      </c>
      <c r="E24">
        <v>53.84</v>
      </c>
    </row>
    <row r="25" spans="3:9">
      <c r="C25" t="s">
        <v>285</v>
      </c>
      <c r="D25" t="s">
        <v>286</v>
      </c>
      <c r="E25" s="12">
        <f>E22/E24</f>
        <v>78.194650817236251</v>
      </c>
    </row>
    <row r="27" spans="3:9" s="19" customFormat="1">
      <c r="C27" s="20" t="s">
        <v>287</v>
      </c>
    </row>
    <row r="29" spans="3:9">
      <c r="C29" s="96" t="s">
        <v>8</v>
      </c>
      <c r="D29" t="s">
        <v>9</v>
      </c>
    </row>
    <row r="31" spans="3:9">
      <c r="E31" s="5" t="s">
        <v>49</v>
      </c>
      <c r="F31" s="5" t="s">
        <v>19</v>
      </c>
      <c r="G31" s="5" t="s">
        <v>48</v>
      </c>
      <c r="I31" s="5" t="s">
        <v>117</v>
      </c>
    </row>
    <row r="32" spans="3:9">
      <c r="C32" t="s">
        <v>239</v>
      </c>
      <c r="D32" t="s">
        <v>81</v>
      </c>
      <c r="E32" s="1">
        <v>0</v>
      </c>
      <c r="F32" s="1">
        <v>24.5</v>
      </c>
      <c r="G32" s="1">
        <v>24.5</v>
      </c>
    </row>
    <row r="33" spans="3:8">
      <c r="C33" t="s">
        <v>288</v>
      </c>
      <c r="D33" t="s">
        <v>57</v>
      </c>
      <c r="E33" s="14">
        <f>Network!$C$75</f>
        <v>3.2599999999999997E-2</v>
      </c>
      <c r="F33" s="14">
        <f>Network!$C$75</f>
        <v>3.2599999999999997E-2</v>
      </c>
      <c r="G33" s="14">
        <f>Network!$C$75</f>
        <v>3.2599999999999997E-2</v>
      </c>
      <c r="H33" t="s">
        <v>289</v>
      </c>
    </row>
    <row r="34" spans="3:8">
      <c r="C34" t="s">
        <v>290</v>
      </c>
      <c r="D34" t="s">
        <v>291</v>
      </c>
      <c r="E34">
        <f>Network!$C$74</f>
        <v>45</v>
      </c>
      <c r="F34">
        <f>Network!$C$74</f>
        <v>45</v>
      </c>
      <c r="G34">
        <f>Network!$C$74</f>
        <v>45</v>
      </c>
      <c r="H34" t="s">
        <v>289</v>
      </c>
    </row>
    <row r="35" spans="3:8">
      <c r="C35" t="s">
        <v>292</v>
      </c>
      <c r="D35" t="s">
        <v>146</v>
      </c>
      <c r="E35" s="137">
        <v>0</v>
      </c>
      <c r="F35" s="137">
        <f>-PMT(F33,F32,F34)</f>
        <v>2.6951217950749937</v>
      </c>
      <c r="G35" s="137">
        <f t="shared" ref="G35" si="0">-PMT(G33,G32,G34)</f>
        <v>2.6951217950749937</v>
      </c>
    </row>
    <row r="37" spans="3:8">
      <c r="C37" t="s">
        <v>293</v>
      </c>
      <c r="D37" t="s">
        <v>146</v>
      </c>
      <c r="E37" s="1">
        <v>0</v>
      </c>
      <c r="F37" s="1">
        <v>0.31</v>
      </c>
      <c r="G37" s="1">
        <v>0.31</v>
      </c>
    </row>
    <row r="40" spans="3:8">
      <c r="C40" s="96" t="s">
        <v>294</v>
      </c>
    </row>
    <row r="41" spans="3:8">
      <c r="C41" s="5"/>
    </row>
    <row r="42" spans="3:8">
      <c r="C42" t="s">
        <v>295</v>
      </c>
      <c r="D42" s="46">
        <v>4114.4599020290552</v>
      </c>
    </row>
    <row r="43" spans="3:8">
      <c r="C43" t="s">
        <v>296</v>
      </c>
      <c r="D43" s="46">
        <v>51.430748775363206</v>
      </c>
    </row>
    <row r="45" spans="3:8">
      <c r="C45" t="s">
        <v>297</v>
      </c>
      <c r="D45">
        <v>6.74</v>
      </c>
    </row>
    <row r="46" spans="3:8">
      <c r="C46" t="s">
        <v>298</v>
      </c>
      <c r="D46">
        <v>0.04</v>
      </c>
    </row>
    <row r="47" spans="3:8">
      <c r="C47" t="s">
        <v>299</v>
      </c>
      <c r="D47" s="171">
        <f>D46/D45</f>
        <v>5.9347181008902079E-3</v>
      </c>
    </row>
    <row r="49" spans="3:4">
      <c r="C49" t="s">
        <v>300</v>
      </c>
      <c r="D49" s="12">
        <v>24.5</v>
      </c>
    </row>
    <row r="50" spans="3:4">
      <c r="C50" t="s">
        <v>301</v>
      </c>
      <c r="D50" s="12">
        <v>0.31</v>
      </c>
    </row>
  </sheetData>
  <hyperlinks>
    <hyperlink ref="F8" r:id="rId1" display="https://www.eti.co.uk/programmes/carbon-capture-storage/strategic-uk-ccs-storage-appraisal" xr:uid="{02B538AD-F4E4-47EF-94B4-DD1B81849FA7}"/>
    <hyperlink ref="L8" r:id="rId2" display="C:\Users\xingliang.fang\Downloads\https___es.catapult.org.uk_wp-content_uploads_2022_04_ESME_v4.5_Data_References_Book.pdf" xr:uid="{5985D73D-4FE2-4500-A873-402D03ED9193}"/>
    <hyperlink ref="F9" r:id="rId3" display="https://www.sciencedirect.com/science/article/pii/S0959652623042427?via%3Dihub" xr:uid="{12B6626A-F4D2-45DB-A76D-9105B9603875}"/>
    <hyperlink ref="L9" r:id="rId4" xr:uid="{7195D11C-BE67-4665-B0B3-7F337BE662C2}"/>
  </hyperlinks>
  <pageMargins left="0.7" right="0.7" top="0.75" bottom="0.75" header="0.3" footer="0.3"/>
  <pageSetup paperSize="9" orientation="portrait"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9FC3C-147C-4E02-A388-9A81A5E85A1E}">
  <sheetPr codeName="Sheet12"/>
  <dimension ref="B2:X37"/>
  <sheetViews>
    <sheetView workbookViewId="0"/>
  </sheetViews>
  <sheetFormatPr defaultRowHeight="14"/>
  <cols>
    <col min="2" max="2" width="13.75" customWidth="1"/>
    <col min="3" max="3" width="26.75" customWidth="1"/>
    <col min="4" max="4" width="23" customWidth="1"/>
    <col min="5" max="7" width="26.75" customWidth="1"/>
    <col min="8" max="8" width="27.25" bestFit="1" customWidth="1"/>
    <col min="10" max="10" width="22.75" customWidth="1"/>
    <col min="12" max="12" width="18.25" customWidth="1"/>
    <col min="13" max="13" width="9.25" bestFit="1" customWidth="1"/>
  </cols>
  <sheetData>
    <row r="2" spans="2:24">
      <c r="B2" s="96" t="s">
        <v>4</v>
      </c>
      <c r="C2" s="43" t="s">
        <v>302</v>
      </c>
      <c r="D2" s="43"/>
      <c r="E2" s="43"/>
      <c r="F2" s="43"/>
      <c r="G2" s="43"/>
      <c r="H2" s="43"/>
      <c r="I2" s="43"/>
      <c r="J2" s="43"/>
      <c r="K2" s="43"/>
      <c r="L2" s="43"/>
      <c r="M2" s="43"/>
      <c r="N2" s="43"/>
      <c r="O2" s="43"/>
      <c r="P2" s="43"/>
      <c r="Q2" s="43"/>
      <c r="R2" s="43"/>
      <c r="S2" s="43"/>
      <c r="T2" s="43"/>
      <c r="U2" s="43"/>
      <c r="V2" s="43"/>
      <c r="W2" s="43"/>
      <c r="X2" s="43"/>
    </row>
    <row r="3" spans="2:24">
      <c r="B3" s="96" t="s">
        <v>138</v>
      </c>
      <c r="C3" s="43" t="s">
        <v>303</v>
      </c>
      <c r="D3" s="43"/>
      <c r="E3" s="43"/>
      <c r="F3" s="43"/>
      <c r="G3" s="43"/>
      <c r="H3" s="43"/>
      <c r="I3" s="43"/>
      <c r="J3" s="43"/>
      <c r="K3" s="43"/>
      <c r="L3" s="43"/>
      <c r="M3" s="43"/>
      <c r="N3" s="43"/>
      <c r="O3" s="43"/>
      <c r="P3" s="43"/>
      <c r="Q3" s="43"/>
      <c r="R3" s="43"/>
      <c r="S3" s="43"/>
      <c r="T3" s="43"/>
      <c r="U3" s="43"/>
      <c r="V3" s="43"/>
      <c r="W3" s="43"/>
      <c r="X3" s="43"/>
    </row>
    <row r="4" spans="2:24">
      <c r="B4" s="96" t="s">
        <v>8</v>
      </c>
      <c r="C4" s="62" t="s">
        <v>196</v>
      </c>
      <c r="D4" s="43"/>
      <c r="E4" s="43"/>
      <c r="F4" s="43"/>
      <c r="G4" s="43"/>
      <c r="H4" s="43"/>
      <c r="I4" s="43"/>
      <c r="J4" s="43"/>
      <c r="K4" s="43"/>
      <c r="L4" s="43"/>
      <c r="M4" s="43"/>
      <c r="N4" s="43"/>
      <c r="O4" s="43"/>
      <c r="P4" s="43"/>
      <c r="Q4" s="43"/>
      <c r="R4" s="43"/>
      <c r="S4" s="43"/>
      <c r="T4" s="43"/>
      <c r="U4" s="43"/>
      <c r="V4" s="43"/>
      <c r="W4" s="43"/>
      <c r="X4" s="43"/>
    </row>
    <row r="5" spans="2:24">
      <c r="B5" s="43"/>
      <c r="C5" s="43"/>
      <c r="D5" s="43"/>
      <c r="E5" s="43"/>
      <c r="F5" s="43"/>
      <c r="G5" s="43"/>
      <c r="H5" s="43"/>
      <c r="I5" s="43"/>
      <c r="J5" s="43"/>
      <c r="K5" s="43"/>
      <c r="L5" s="43"/>
      <c r="M5" s="43"/>
      <c r="N5" s="43"/>
      <c r="O5" s="43"/>
      <c r="P5" s="43"/>
      <c r="Q5" s="43"/>
      <c r="R5" s="43"/>
      <c r="S5" s="43"/>
      <c r="T5" s="43"/>
      <c r="U5" s="43"/>
      <c r="V5" s="43"/>
      <c r="W5" s="43"/>
      <c r="X5" s="43"/>
    </row>
    <row r="6" spans="2:24" s="19" customFormat="1">
      <c r="B6" s="97" t="s">
        <v>304</v>
      </c>
      <c r="C6" s="98"/>
      <c r="D6" s="98"/>
      <c r="E6" s="98"/>
      <c r="F6" s="98"/>
      <c r="G6" s="98"/>
      <c r="H6" s="98"/>
      <c r="I6" s="98"/>
      <c r="J6" s="98"/>
      <c r="K6" s="98"/>
      <c r="L6" s="98"/>
      <c r="M6" s="98"/>
      <c r="N6" s="98"/>
      <c r="O6" s="98"/>
      <c r="P6" s="98"/>
      <c r="Q6" s="98"/>
      <c r="R6" s="98"/>
      <c r="S6" s="98"/>
      <c r="T6" s="98"/>
      <c r="U6" s="98"/>
      <c r="V6" s="98"/>
      <c r="W6" s="98"/>
      <c r="X6" s="98"/>
    </row>
    <row r="7" spans="2:24">
      <c r="B7" s="61"/>
      <c r="C7" s="43"/>
      <c r="D7" s="43"/>
      <c r="E7" s="43"/>
      <c r="F7" s="43"/>
      <c r="G7" s="43"/>
      <c r="H7" s="43"/>
      <c r="I7" s="43"/>
      <c r="J7" s="43"/>
      <c r="K7" s="43"/>
      <c r="L7" s="43"/>
      <c r="M7" s="43"/>
      <c r="N7" s="43"/>
      <c r="O7" s="43"/>
      <c r="P7" s="43"/>
      <c r="Q7" s="43"/>
      <c r="R7" s="43"/>
      <c r="S7" s="43"/>
      <c r="T7" s="43"/>
      <c r="U7" s="43"/>
      <c r="V7" s="43"/>
      <c r="W7" s="43"/>
      <c r="X7" s="43"/>
    </row>
    <row r="8" spans="2:24">
      <c r="B8" s="168" t="s">
        <v>305</v>
      </c>
      <c r="C8" s="43"/>
      <c r="D8" s="43"/>
      <c r="E8" s="43"/>
      <c r="F8" s="43"/>
      <c r="G8" s="43"/>
      <c r="H8" s="43"/>
      <c r="I8" s="43"/>
      <c r="J8" s="43"/>
      <c r="K8" s="43"/>
      <c r="L8" s="43"/>
      <c r="M8" s="43"/>
      <c r="N8" s="43"/>
      <c r="O8" s="43"/>
      <c r="P8" s="43"/>
      <c r="Q8" s="43"/>
      <c r="R8" s="43"/>
      <c r="S8" s="43"/>
      <c r="T8" s="43"/>
      <c r="U8" s="43"/>
      <c r="V8" s="43"/>
      <c r="W8" s="43"/>
      <c r="X8" s="43"/>
    </row>
    <row r="9" spans="2:24">
      <c r="B9" s="43"/>
      <c r="C9" s="43"/>
      <c r="D9" s="43"/>
      <c r="E9" s="43"/>
      <c r="F9" s="43"/>
      <c r="G9" s="43"/>
      <c r="H9" s="43"/>
      <c r="I9" s="43"/>
      <c r="J9" s="43"/>
      <c r="K9" s="43"/>
      <c r="L9" s="43"/>
      <c r="M9" s="43"/>
      <c r="N9" s="43"/>
      <c r="O9" s="43"/>
      <c r="P9" s="43"/>
      <c r="Q9" s="43"/>
      <c r="R9" s="43"/>
      <c r="S9" s="43"/>
      <c r="T9" s="43"/>
      <c r="U9" s="43"/>
      <c r="V9" s="43"/>
      <c r="W9" s="43"/>
      <c r="X9" s="43"/>
    </row>
    <row r="10" spans="2:24">
      <c r="C10" s="44" t="s">
        <v>306</v>
      </c>
      <c r="D10" s="44" t="s">
        <v>307</v>
      </c>
      <c r="E10" s="44" t="s">
        <v>308</v>
      </c>
      <c r="F10" s="44" t="s">
        <v>309</v>
      </c>
      <c r="G10" s="44" t="s">
        <v>310</v>
      </c>
      <c r="H10" s="44" t="s">
        <v>311</v>
      </c>
      <c r="I10" s="43"/>
      <c r="O10" s="43"/>
      <c r="P10" s="43"/>
      <c r="Q10" s="43"/>
      <c r="R10" s="43"/>
      <c r="S10" s="43"/>
      <c r="T10" s="43"/>
      <c r="U10" s="43"/>
      <c r="V10" s="43"/>
      <c r="W10" s="43"/>
      <c r="X10" s="43"/>
    </row>
    <row r="11" spans="2:24">
      <c r="B11" t="s">
        <v>19</v>
      </c>
      <c r="C11" s="169">
        <v>2741.1261667376002</v>
      </c>
      <c r="D11" s="169">
        <v>4007.4950263200003</v>
      </c>
      <c r="E11" s="135">
        <f t="shared" ref="E11:E13" si="0">C11+D11</f>
        <v>6748.621193057601</v>
      </c>
      <c r="F11" s="163">
        <f>C11/'XR&amp;Inflation'!$C$24</f>
        <v>2336.8509520354646</v>
      </c>
      <c r="G11" s="163">
        <f>D11/'XR&amp;Inflation'!$C$24</f>
        <v>3416.4492978005114</v>
      </c>
      <c r="H11" s="163">
        <f>E11/'XR&amp;Inflation'!$C$24</f>
        <v>5753.3002498359765</v>
      </c>
      <c r="I11" s="43"/>
      <c r="O11" s="43"/>
      <c r="P11" s="43"/>
      <c r="Q11" s="43"/>
      <c r="R11" s="43"/>
      <c r="S11" s="43"/>
      <c r="T11" s="43"/>
      <c r="U11" s="43"/>
      <c r="V11" s="43"/>
      <c r="W11" s="43"/>
      <c r="X11" s="43"/>
    </row>
    <row r="12" spans="2:24">
      <c r="B12" t="s">
        <v>48</v>
      </c>
      <c r="C12" s="169">
        <v>2147.97910231785</v>
      </c>
      <c r="D12" s="169">
        <v>5126.0128301799996</v>
      </c>
      <c r="E12" s="135">
        <f t="shared" si="0"/>
        <v>7273.9919324978491</v>
      </c>
      <c r="F12" s="163">
        <f>C12/'XR&amp;Inflation'!$C$24</f>
        <v>1831.1842304499999</v>
      </c>
      <c r="G12" s="163">
        <f>D12/'XR&amp;Inflation'!$C$24</f>
        <v>4370.0024127706729</v>
      </c>
      <c r="H12" s="163">
        <f>E12/'XR&amp;Inflation'!$C$24</f>
        <v>6201.1866432206725</v>
      </c>
      <c r="I12" s="43"/>
      <c r="O12" s="43"/>
      <c r="P12" s="43"/>
      <c r="Q12" s="43"/>
      <c r="R12" s="43"/>
      <c r="S12" s="43"/>
      <c r="T12" s="43"/>
      <c r="U12" s="43"/>
      <c r="V12" s="43"/>
      <c r="W12" s="43"/>
      <c r="X12" s="43"/>
    </row>
    <row r="13" spans="2:24">
      <c r="B13" s="115" t="s">
        <v>49</v>
      </c>
      <c r="C13" s="169">
        <v>6453.23169635865</v>
      </c>
      <c r="D13" s="169">
        <v>6321.1885882000006</v>
      </c>
      <c r="E13" s="135">
        <f t="shared" si="0"/>
        <v>12774.420284558651</v>
      </c>
      <c r="F13" s="163">
        <f>C13/'XR&amp;Inflation'!$C$24</f>
        <v>5501.4762969809462</v>
      </c>
      <c r="G13" s="163">
        <f>D13/'XR&amp;Inflation'!$C$24</f>
        <v>5388.9075773231034</v>
      </c>
      <c r="H13" s="163">
        <f>E13/'XR&amp;Inflation'!$C$24</f>
        <v>10890.383874304051</v>
      </c>
      <c r="I13" s="43"/>
      <c r="O13" s="43"/>
      <c r="P13" s="43"/>
      <c r="Q13" s="43"/>
      <c r="R13" s="43"/>
      <c r="S13" s="43"/>
      <c r="T13" s="43"/>
      <c r="U13" s="43"/>
      <c r="V13" s="43"/>
      <c r="W13" s="43"/>
      <c r="X13" s="43"/>
    </row>
    <row r="14" spans="2:24">
      <c r="B14" s="43"/>
      <c r="C14" s="66"/>
      <c r="D14" s="43"/>
      <c r="E14" s="66"/>
      <c r="F14" s="66"/>
      <c r="G14" s="66"/>
      <c r="H14" s="45"/>
      <c r="I14" s="43"/>
      <c r="J14" s="43"/>
      <c r="K14" s="43"/>
      <c r="L14" s="43"/>
      <c r="M14" s="43"/>
      <c r="N14" s="43"/>
      <c r="O14" s="43"/>
      <c r="P14" s="43"/>
      <c r="Q14" s="43"/>
      <c r="R14" s="43"/>
      <c r="S14" s="43"/>
      <c r="T14" s="43"/>
      <c r="U14" s="43"/>
      <c r="V14" s="43"/>
      <c r="W14" s="43"/>
      <c r="X14" s="43"/>
    </row>
    <row r="15" spans="2:24">
      <c r="B15" s="43"/>
      <c r="C15" s="67"/>
      <c r="D15" s="43"/>
      <c r="E15" s="67"/>
      <c r="F15" s="67"/>
      <c r="G15" s="67"/>
      <c r="H15" s="45"/>
      <c r="I15" s="43"/>
      <c r="J15" s="43"/>
      <c r="K15" s="43"/>
      <c r="L15" s="43"/>
      <c r="M15" s="43"/>
      <c r="N15" s="43"/>
      <c r="O15" s="43"/>
      <c r="P15" s="43"/>
      <c r="Q15" s="43"/>
      <c r="R15" s="43"/>
      <c r="S15" s="43"/>
      <c r="T15" s="43"/>
      <c r="U15" s="43"/>
      <c r="V15" s="43"/>
      <c r="W15" s="43"/>
      <c r="X15" s="43"/>
    </row>
    <row r="16" spans="2:24">
      <c r="B16" s="43"/>
      <c r="C16" s="67"/>
      <c r="D16" s="43"/>
      <c r="E16" s="67"/>
      <c r="F16" s="67"/>
      <c r="G16" s="67"/>
      <c r="H16" s="45"/>
      <c r="I16" s="43"/>
      <c r="J16" s="61"/>
      <c r="K16" s="61"/>
      <c r="L16" s="61"/>
      <c r="M16" s="61"/>
      <c r="N16" s="61"/>
      <c r="O16" s="61"/>
      <c r="P16" s="61"/>
      <c r="Q16" s="61"/>
      <c r="R16" s="61"/>
      <c r="S16" s="61"/>
      <c r="T16" s="61"/>
      <c r="U16" s="61"/>
      <c r="V16" s="61"/>
      <c r="W16" s="61"/>
      <c r="X16" s="61"/>
    </row>
    <row r="17" spans="2:24">
      <c r="B17" s="43"/>
      <c r="C17" s="67"/>
      <c r="D17" s="43"/>
      <c r="E17" s="67"/>
      <c r="F17" s="67"/>
      <c r="G17" s="67"/>
      <c r="H17" s="45"/>
      <c r="I17" s="43"/>
      <c r="J17" s="45"/>
      <c r="K17" s="45"/>
      <c r="L17" s="45"/>
      <c r="M17" s="45"/>
      <c r="N17" s="45"/>
      <c r="O17" s="45"/>
      <c r="P17" s="45"/>
      <c r="Q17" s="45"/>
      <c r="R17" s="45"/>
      <c r="S17" s="45"/>
      <c r="T17" s="45"/>
      <c r="U17" s="45"/>
      <c r="V17" s="45"/>
      <c r="W17" s="45"/>
      <c r="X17" s="45"/>
    </row>
    <row r="18" spans="2:24">
      <c r="B18" s="43"/>
      <c r="C18" s="67"/>
      <c r="D18" s="43"/>
      <c r="E18" s="67"/>
      <c r="F18" s="67"/>
      <c r="G18" s="67"/>
      <c r="H18" s="43"/>
      <c r="I18" s="43"/>
      <c r="J18" s="45"/>
      <c r="K18" s="45"/>
      <c r="L18" s="45"/>
      <c r="M18" s="45"/>
      <c r="N18" s="45"/>
      <c r="O18" s="45"/>
      <c r="P18" s="45"/>
      <c r="Q18" s="45"/>
      <c r="R18" s="45"/>
      <c r="S18" s="45"/>
      <c r="T18" s="45"/>
      <c r="U18" s="45"/>
      <c r="V18" s="45"/>
      <c r="W18" s="45"/>
      <c r="X18" s="45"/>
    </row>
    <row r="19" spans="2:24">
      <c r="B19" s="43"/>
      <c r="C19" s="43"/>
      <c r="D19" s="43"/>
      <c r="E19" s="43"/>
      <c r="F19" s="43"/>
      <c r="G19" s="43"/>
      <c r="H19" s="43"/>
      <c r="I19" s="43"/>
      <c r="J19" s="45"/>
      <c r="K19" s="45"/>
      <c r="L19" s="45"/>
      <c r="M19" s="45"/>
      <c r="N19" s="45"/>
      <c r="O19" s="45"/>
      <c r="P19" s="45"/>
      <c r="Q19" s="45"/>
      <c r="R19" s="45"/>
      <c r="S19" s="45"/>
      <c r="T19" s="45"/>
      <c r="U19" s="45"/>
      <c r="V19" s="45"/>
      <c r="W19" s="45"/>
      <c r="X19" s="45"/>
    </row>
    <row r="20" spans="2:24">
      <c r="B20" s="61"/>
      <c r="C20" s="43"/>
      <c r="D20" s="43"/>
      <c r="E20" s="43"/>
      <c r="F20" s="43"/>
      <c r="G20" s="43"/>
      <c r="H20" s="43"/>
      <c r="I20" s="43"/>
      <c r="J20" s="45"/>
      <c r="K20" s="45"/>
      <c r="L20" s="45"/>
      <c r="M20" s="45"/>
      <c r="N20" s="45"/>
      <c r="O20" s="45"/>
      <c r="P20" s="45"/>
      <c r="Q20" s="45"/>
      <c r="R20" s="45"/>
      <c r="S20" s="45"/>
      <c r="T20" s="45"/>
      <c r="U20" s="45"/>
      <c r="V20" s="45"/>
      <c r="W20" s="45"/>
      <c r="X20" s="45"/>
    </row>
    <row r="21" spans="2:24">
      <c r="B21" s="43"/>
      <c r="C21" s="43"/>
      <c r="D21" s="43"/>
      <c r="E21" s="43"/>
      <c r="F21" s="43"/>
      <c r="G21" s="43"/>
      <c r="H21" s="43"/>
      <c r="I21" s="43"/>
      <c r="J21" s="43"/>
      <c r="K21" s="43"/>
      <c r="L21" s="43"/>
      <c r="M21" s="43"/>
      <c r="N21" s="43"/>
      <c r="O21" s="43"/>
      <c r="P21" s="43"/>
      <c r="Q21" s="43"/>
      <c r="R21" s="43"/>
      <c r="S21" s="43"/>
      <c r="T21" s="43"/>
      <c r="U21" s="43"/>
      <c r="V21" s="43"/>
      <c r="W21" s="43"/>
      <c r="X21" s="43"/>
    </row>
    <row r="22" spans="2:24">
      <c r="B22" s="43"/>
      <c r="C22" s="61"/>
      <c r="D22" s="61"/>
      <c r="E22" s="43"/>
      <c r="F22" s="43"/>
      <c r="G22" s="43"/>
      <c r="H22" s="61"/>
      <c r="I22" s="43"/>
      <c r="J22" s="43"/>
      <c r="K22" s="43"/>
      <c r="L22" s="43"/>
      <c r="M22" s="43"/>
      <c r="N22" s="43"/>
      <c r="O22" s="43"/>
      <c r="P22" s="43"/>
      <c r="Q22" s="43"/>
      <c r="R22" s="43"/>
      <c r="S22" s="43"/>
      <c r="T22" s="43"/>
      <c r="U22" s="43"/>
      <c r="V22" s="43"/>
      <c r="W22" s="43"/>
      <c r="X22" s="43"/>
    </row>
    <row r="23" spans="2:24">
      <c r="B23" s="43"/>
      <c r="C23" s="43"/>
      <c r="D23" s="45"/>
      <c r="E23" s="43"/>
      <c r="F23" s="43"/>
      <c r="G23" s="43"/>
      <c r="H23" s="43"/>
      <c r="I23" s="43"/>
      <c r="J23" s="43"/>
      <c r="K23" s="43"/>
      <c r="L23" s="43"/>
      <c r="M23" s="43"/>
      <c r="N23" s="43"/>
      <c r="O23" s="43"/>
      <c r="P23" s="43"/>
      <c r="Q23" s="43"/>
      <c r="R23" s="43"/>
      <c r="S23" s="43"/>
      <c r="T23" s="43"/>
      <c r="U23" s="43"/>
      <c r="V23" s="43"/>
      <c r="W23" s="43"/>
      <c r="X23" s="43"/>
    </row>
    <row r="24" spans="2:24">
      <c r="B24" s="43"/>
      <c r="C24" s="43"/>
      <c r="D24" s="45"/>
      <c r="E24" s="43"/>
      <c r="F24" s="43"/>
      <c r="G24" s="43"/>
      <c r="H24" s="43"/>
      <c r="I24" s="43"/>
      <c r="J24" s="43"/>
      <c r="K24" s="43"/>
      <c r="L24" s="43"/>
      <c r="M24" s="43"/>
      <c r="N24" s="43"/>
      <c r="O24" s="43"/>
      <c r="P24" s="43"/>
      <c r="Q24" s="43"/>
      <c r="R24" s="43"/>
      <c r="S24" s="43"/>
      <c r="T24" s="43"/>
      <c r="U24" s="43"/>
      <c r="V24" s="43"/>
      <c r="W24" s="43"/>
      <c r="X24" s="43"/>
    </row>
    <row r="25" spans="2:24">
      <c r="B25" s="43"/>
      <c r="C25" s="43"/>
      <c r="D25" s="45"/>
      <c r="E25" s="43"/>
      <c r="F25" s="43"/>
      <c r="G25" s="43"/>
      <c r="H25" s="43"/>
      <c r="I25" s="43"/>
      <c r="J25" s="61"/>
      <c r="K25" s="61"/>
      <c r="L25" s="61"/>
      <c r="M25" s="61"/>
      <c r="N25" s="61"/>
      <c r="O25" s="61"/>
      <c r="P25" s="61"/>
      <c r="Q25" s="61"/>
      <c r="R25" s="61"/>
      <c r="S25" s="61"/>
      <c r="T25" s="61"/>
      <c r="U25" s="61"/>
      <c r="V25" s="61"/>
      <c r="W25" s="61"/>
      <c r="X25" s="61"/>
    </row>
    <row r="26" spans="2:24">
      <c r="B26" s="43"/>
      <c r="C26" s="43"/>
      <c r="D26" s="45"/>
      <c r="E26" s="43"/>
      <c r="F26" s="43"/>
      <c r="G26" s="43"/>
      <c r="H26" s="43"/>
      <c r="I26" s="43"/>
      <c r="J26" s="45"/>
      <c r="K26" s="45"/>
      <c r="L26" s="45"/>
      <c r="M26" s="45"/>
      <c r="N26" s="45"/>
      <c r="O26" s="45"/>
      <c r="P26" s="45"/>
      <c r="Q26" s="45"/>
      <c r="R26" s="45"/>
      <c r="S26" s="45"/>
      <c r="T26" s="45"/>
      <c r="U26" s="45"/>
      <c r="V26" s="45"/>
      <c r="W26" s="45"/>
      <c r="X26" s="45"/>
    </row>
    <row r="27" spans="2:24">
      <c r="B27" s="43"/>
      <c r="C27" s="43"/>
      <c r="D27" s="43"/>
      <c r="E27" s="43"/>
      <c r="F27" s="43"/>
      <c r="G27" s="43"/>
      <c r="H27" s="43"/>
      <c r="I27" s="43"/>
      <c r="J27" s="45"/>
      <c r="K27" s="45"/>
      <c r="L27" s="45"/>
      <c r="M27" s="45"/>
      <c r="N27" s="45"/>
      <c r="O27" s="45"/>
      <c r="P27" s="45"/>
      <c r="Q27" s="45"/>
      <c r="R27" s="45"/>
      <c r="S27" s="45"/>
      <c r="T27" s="45"/>
      <c r="U27" s="45"/>
      <c r="V27" s="45"/>
      <c r="W27" s="45"/>
      <c r="X27" s="45"/>
    </row>
    <row r="28" spans="2:24">
      <c r="B28" s="61"/>
      <c r="C28" s="43"/>
      <c r="D28" s="43"/>
      <c r="E28" s="43"/>
      <c r="F28" s="43"/>
      <c r="G28" s="43"/>
      <c r="H28" s="43"/>
      <c r="I28" s="43"/>
      <c r="J28" s="45"/>
      <c r="K28" s="45"/>
      <c r="L28" s="45"/>
      <c r="M28" s="45"/>
      <c r="N28" s="45"/>
      <c r="O28" s="45"/>
      <c r="P28" s="45"/>
      <c r="Q28" s="45"/>
      <c r="R28" s="45"/>
      <c r="S28" s="45"/>
      <c r="T28" s="45"/>
      <c r="U28" s="45"/>
      <c r="V28" s="45"/>
      <c r="W28" s="45"/>
      <c r="X28" s="45"/>
    </row>
    <row r="29" spans="2:24">
      <c r="B29" s="43"/>
      <c r="C29" s="43"/>
      <c r="D29" s="43"/>
      <c r="E29" s="43"/>
      <c r="F29" s="43"/>
      <c r="G29" s="43"/>
      <c r="H29" s="43"/>
      <c r="I29" s="43"/>
      <c r="J29" s="45"/>
      <c r="K29" s="45"/>
      <c r="L29" s="45"/>
      <c r="M29" s="45"/>
      <c r="N29" s="45"/>
      <c r="O29" s="45"/>
      <c r="P29" s="45"/>
      <c r="Q29" s="45"/>
      <c r="R29" s="45"/>
      <c r="S29" s="45"/>
      <c r="T29" s="45"/>
      <c r="U29" s="45"/>
      <c r="V29" s="45"/>
      <c r="W29" s="45"/>
      <c r="X29" s="45"/>
    </row>
    <row r="30" spans="2:24">
      <c r="B30" s="43"/>
      <c r="C30" s="61"/>
      <c r="D30" s="61"/>
      <c r="E30" s="43"/>
      <c r="F30" s="43"/>
      <c r="G30" s="43"/>
      <c r="H30" s="61"/>
      <c r="I30" s="43"/>
      <c r="J30" s="43"/>
      <c r="K30" s="43"/>
      <c r="L30" s="43"/>
      <c r="M30" s="43"/>
      <c r="N30" s="43"/>
      <c r="O30" s="43"/>
      <c r="P30" s="43"/>
      <c r="Q30" s="43"/>
      <c r="R30" s="43"/>
      <c r="S30" s="43"/>
      <c r="T30" s="43"/>
      <c r="U30" s="43"/>
      <c r="V30" s="43"/>
      <c r="W30" s="43"/>
      <c r="X30" s="43"/>
    </row>
    <row r="31" spans="2:24">
      <c r="B31" s="43"/>
      <c r="C31" s="43"/>
      <c r="D31" s="45"/>
      <c r="E31" s="43"/>
      <c r="F31" s="43"/>
      <c r="G31" s="43"/>
      <c r="H31" s="43"/>
      <c r="I31" s="43"/>
      <c r="J31" s="43"/>
      <c r="K31" s="43"/>
      <c r="L31" s="43"/>
      <c r="M31" s="43"/>
      <c r="N31" s="43"/>
      <c r="O31" s="43"/>
      <c r="P31" s="43"/>
      <c r="Q31" s="43"/>
      <c r="R31" s="43"/>
      <c r="S31" s="43"/>
      <c r="T31" s="43"/>
      <c r="U31" s="43"/>
      <c r="V31" s="43"/>
      <c r="W31" s="43"/>
      <c r="X31" s="43"/>
    </row>
    <row r="32" spans="2:24">
      <c r="B32" s="43"/>
      <c r="C32" s="43"/>
      <c r="D32" s="45"/>
      <c r="E32" s="43"/>
      <c r="F32" s="43"/>
      <c r="G32" s="43"/>
      <c r="H32" s="43"/>
      <c r="I32" s="43"/>
      <c r="J32" s="43"/>
      <c r="K32" s="43"/>
      <c r="L32" s="43"/>
      <c r="M32" s="43"/>
      <c r="N32" s="43"/>
      <c r="O32" s="43"/>
      <c r="P32" s="43"/>
      <c r="Q32" s="43"/>
      <c r="R32" s="43"/>
      <c r="S32" s="43"/>
      <c r="T32" s="43"/>
      <c r="U32" s="43"/>
      <c r="V32" s="43"/>
      <c r="W32" s="43"/>
      <c r="X32" s="43"/>
    </row>
    <row r="33" spans="2:24">
      <c r="B33" s="43"/>
      <c r="C33" s="43"/>
      <c r="D33" s="45"/>
      <c r="E33" s="43"/>
      <c r="F33" s="43"/>
      <c r="G33" s="43"/>
      <c r="H33" s="43"/>
      <c r="I33" s="43"/>
      <c r="J33" s="61"/>
      <c r="K33" s="61"/>
      <c r="L33" s="61"/>
      <c r="M33" s="61"/>
      <c r="N33" s="61"/>
      <c r="O33" s="61"/>
      <c r="P33" s="61"/>
      <c r="Q33" s="61"/>
      <c r="R33" s="61"/>
      <c r="S33" s="61"/>
      <c r="T33" s="61"/>
      <c r="U33" s="61"/>
      <c r="V33" s="61"/>
      <c r="W33" s="61"/>
      <c r="X33" s="61"/>
    </row>
    <row r="34" spans="2:24">
      <c r="B34" s="43"/>
      <c r="C34" s="43"/>
      <c r="D34" s="45"/>
      <c r="E34" s="43"/>
      <c r="F34" s="43"/>
      <c r="G34" s="43"/>
      <c r="H34" s="43"/>
      <c r="I34" s="43"/>
      <c r="J34" s="45"/>
      <c r="K34" s="45"/>
      <c r="L34" s="45"/>
      <c r="M34" s="45"/>
      <c r="N34" s="45"/>
      <c r="O34" s="45"/>
      <c r="P34" s="45"/>
      <c r="Q34" s="45"/>
      <c r="R34" s="45"/>
      <c r="S34" s="45"/>
      <c r="T34" s="45"/>
      <c r="U34" s="45"/>
      <c r="V34" s="45"/>
      <c r="W34" s="45"/>
      <c r="X34" s="45"/>
    </row>
    <row r="35" spans="2:24">
      <c r="I35" s="43"/>
      <c r="J35" s="45"/>
      <c r="K35" s="45"/>
      <c r="L35" s="45"/>
      <c r="M35" s="45"/>
      <c r="N35" s="45"/>
      <c r="O35" s="45"/>
      <c r="P35" s="45"/>
      <c r="Q35" s="45"/>
      <c r="R35" s="45"/>
      <c r="S35" s="45"/>
      <c r="T35" s="45"/>
      <c r="U35" s="45"/>
      <c r="V35" s="45"/>
      <c r="W35" s="45"/>
      <c r="X35" s="45"/>
    </row>
    <row r="36" spans="2:24">
      <c r="I36" s="43"/>
      <c r="J36" s="45"/>
      <c r="K36" s="45"/>
      <c r="L36" s="45"/>
      <c r="M36" s="45"/>
      <c r="N36" s="45"/>
      <c r="O36" s="45"/>
      <c r="P36" s="45"/>
      <c r="Q36" s="45"/>
      <c r="R36" s="45"/>
      <c r="S36" s="45"/>
      <c r="T36" s="45"/>
      <c r="U36" s="45"/>
      <c r="V36" s="45"/>
      <c r="W36" s="45"/>
      <c r="X36" s="45"/>
    </row>
    <row r="37" spans="2:24">
      <c r="I37" s="43"/>
      <c r="J37" s="45"/>
      <c r="K37" s="45"/>
      <c r="L37" s="45"/>
      <c r="M37" s="45"/>
      <c r="N37" s="45"/>
      <c r="O37" s="45"/>
      <c r="P37" s="45"/>
      <c r="Q37" s="45"/>
      <c r="R37" s="45"/>
      <c r="S37" s="45"/>
      <c r="T37" s="45"/>
      <c r="U37" s="45"/>
      <c r="V37" s="45"/>
      <c r="W37" s="45"/>
      <c r="X37" s="45"/>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C214B-A446-420B-B72A-AC2236A33560}">
  <sheetPr codeName="Sheet14"/>
  <dimension ref="B2:G53"/>
  <sheetViews>
    <sheetView topLeftCell="A4" workbookViewId="0">
      <selection activeCell="D86" sqref="D86"/>
    </sheetView>
  </sheetViews>
  <sheetFormatPr defaultRowHeight="14"/>
  <cols>
    <col min="1" max="1" width="23.25" bestFit="1" customWidth="1"/>
    <col min="2" max="2" width="94.75" customWidth="1"/>
    <col min="3" max="3" width="16" customWidth="1"/>
    <col min="4" max="4" width="17.75" bestFit="1" customWidth="1"/>
    <col min="5" max="5" width="12.4140625" customWidth="1"/>
    <col min="6" max="6" width="16.4140625" customWidth="1"/>
  </cols>
  <sheetData>
    <row r="2" spans="2:4">
      <c r="B2" s="42" t="s">
        <v>194</v>
      </c>
      <c r="C2" t="s">
        <v>312</v>
      </c>
    </row>
    <row r="3" spans="2:4">
      <c r="B3" s="42" t="s">
        <v>138</v>
      </c>
      <c r="C3" t="s">
        <v>81</v>
      </c>
    </row>
    <row r="4" spans="2:4">
      <c r="B4" s="42" t="s">
        <v>8</v>
      </c>
      <c r="C4" t="s">
        <v>313</v>
      </c>
    </row>
    <row r="6" spans="2:4" s="19" customFormat="1">
      <c r="B6" s="20" t="s">
        <v>314</v>
      </c>
    </row>
    <row r="7" spans="2:4">
      <c r="B7" s="10"/>
    </row>
    <row r="8" spans="2:4">
      <c r="B8" s="223" t="s">
        <v>315</v>
      </c>
    </row>
    <row r="9" spans="2:4">
      <c r="B9" s="10"/>
    </row>
    <row r="10" spans="2:4" ht="15" thickBot="1">
      <c r="B10" s="10"/>
      <c r="C10" s="87" t="s">
        <v>70</v>
      </c>
      <c r="D10" s="87" t="s">
        <v>316</v>
      </c>
    </row>
    <row r="11" spans="2:4" ht="15" thickBot="1">
      <c r="B11" s="224" t="s">
        <v>49</v>
      </c>
      <c r="C11" s="49">
        <v>2030</v>
      </c>
      <c r="D11" s="225">
        <f>C26</f>
        <v>2476.2720442727023</v>
      </c>
    </row>
    <row r="12" spans="2:4">
      <c r="B12" s="94"/>
    </row>
    <row r="13" spans="2:4" ht="15" thickBot="1">
      <c r="B13" s="95" t="s">
        <v>317</v>
      </c>
      <c r="C13" s="87" t="s">
        <v>70</v>
      </c>
      <c r="D13" s="88" t="s">
        <v>316</v>
      </c>
    </row>
    <row r="14" spans="2:4" ht="15" thickBot="1">
      <c r="B14" s="47" t="s">
        <v>19</v>
      </c>
      <c r="C14" s="49">
        <v>2030</v>
      </c>
      <c r="D14" s="225">
        <f>D26</f>
        <v>3330.8099030902586</v>
      </c>
    </row>
    <row r="15" spans="2:4" ht="14.5">
      <c r="B15" s="47"/>
      <c r="C15" s="89"/>
      <c r="D15" s="89"/>
    </row>
    <row r="16" spans="2:4" ht="15" thickBot="1">
      <c r="B16" s="95" t="s">
        <v>318</v>
      </c>
      <c r="C16" s="87" t="s">
        <v>70</v>
      </c>
      <c r="D16" s="88" t="s">
        <v>316</v>
      </c>
    </row>
    <row r="17" spans="2:6" ht="15" thickBot="1">
      <c r="B17" s="47" t="s">
        <v>48</v>
      </c>
      <c r="C17" s="49">
        <v>2030</v>
      </c>
      <c r="D17" s="225">
        <f>E26</f>
        <v>2661.4568742360598</v>
      </c>
    </row>
    <row r="18" spans="2:6" ht="14.5">
      <c r="B18" s="48"/>
      <c r="C18" s="89"/>
      <c r="D18" s="90"/>
    </row>
    <row r="19" spans="2:6">
      <c r="B19" s="10"/>
    </row>
    <row r="20" spans="2:6">
      <c r="B20" s="223" t="s">
        <v>319</v>
      </c>
    </row>
    <row r="21" spans="2:6">
      <c r="B21" s="10"/>
    </row>
    <row r="22" spans="2:6">
      <c r="B22" s="10"/>
      <c r="C22" s="5" t="s">
        <v>49</v>
      </c>
      <c r="D22" s="5" t="s">
        <v>19</v>
      </c>
      <c r="E22" s="5" t="s">
        <v>48</v>
      </c>
    </row>
    <row r="23" spans="2:6">
      <c r="B23" s="10"/>
      <c r="C23">
        <v>2030</v>
      </c>
      <c r="D23">
        <v>2030</v>
      </c>
      <c r="E23">
        <v>2030</v>
      </c>
    </row>
    <row r="24" spans="2:6">
      <c r="B24" s="62" t="s">
        <v>320</v>
      </c>
      <c r="C24" s="149">
        <v>2382.4899999999998</v>
      </c>
      <c r="D24" s="149">
        <v>3108.43</v>
      </c>
      <c r="E24" s="149">
        <v>2481.61</v>
      </c>
    </row>
    <row r="25" spans="2:6">
      <c r="B25" s="62" t="s">
        <v>321</v>
      </c>
      <c r="C25" s="12">
        <f>C38</f>
        <v>93.782044272702535</v>
      </c>
      <c r="D25" s="12">
        <f>D38</f>
        <v>222.37990309025884</v>
      </c>
      <c r="E25" s="12">
        <f>E38</f>
        <v>179.84687423605976</v>
      </c>
    </row>
    <row r="26" spans="2:6">
      <c r="B26" s="223" t="s">
        <v>315</v>
      </c>
      <c r="C26" s="5">
        <f>SUM(C24:C25)</f>
        <v>2476.2720442727023</v>
      </c>
      <c r="D26" s="5">
        <f>SUM(D24:D25)</f>
        <v>3330.8099030902586</v>
      </c>
      <c r="E26" s="5">
        <f>SUM(E24:E25)</f>
        <v>2661.4568742360598</v>
      </c>
    </row>
    <row r="27" spans="2:6">
      <c r="B27" s="62"/>
    </row>
    <row r="28" spans="2:6">
      <c r="B28" s="62" t="s">
        <v>486</v>
      </c>
    </row>
    <row r="29" spans="2:6" ht="14.5">
      <c r="B29" s="226" t="s">
        <v>322</v>
      </c>
    </row>
    <row r="30" spans="2:6" ht="14.5">
      <c r="B30" s="234"/>
      <c r="C30" s="213" t="s">
        <v>49</v>
      </c>
      <c r="D30" s="5" t="s">
        <v>19</v>
      </c>
      <c r="E30" s="5" t="s">
        <v>48</v>
      </c>
      <c r="F30" t="s">
        <v>8</v>
      </c>
    </row>
    <row r="31" spans="2:6" ht="14.5">
      <c r="B31" s="48" t="s">
        <v>323</v>
      </c>
      <c r="C31" s="228">
        <v>37184561290</v>
      </c>
      <c r="D31" s="228">
        <v>15794810831</v>
      </c>
      <c r="E31" s="228">
        <v>13321567223</v>
      </c>
      <c r="F31" t="s">
        <v>324</v>
      </c>
    </row>
    <row r="32" spans="2:6" ht="14.5">
      <c r="B32" s="48" t="s">
        <v>325</v>
      </c>
      <c r="C32" s="228">
        <v>37671730318</v>
      </c>
      <c r="D32" s="228">
        <v>17085236029</v>
      </c>
      <c r="E32" s="228">
        <v>14365181934</v>
      </c>
      <c r="F32" t="s">
        <v>324</v>
      </c>
    </row>
    <row r="33" spans="2:7" ht="14.5">
      <c r="B33" s="48" t="s">
        <v>326</v>
      </c>
      <c r="C33" s="231">
        <f>C32-C31</f>
        <v>487169028</v>
      </c>
      <c r="D33" s="231">
        <f>D32-D31</f>
        <v>1290425198</v>
      </c>
      <c r="E33" s="231">
        <f>E32-E31</f>
        <v>1043614711</v>
      </c>
    </row>
    <row r="34" spans="2:7" ht="14.5">
      <c r="B34" s="48" t="s">
        <v>327</v>
      </c>
      <c r="C34" s="227">
        <v>0.36095589099999997</v>
      </c>
      <c r="D34" s="227">
        <v>0.36095589099999997</v>
      </c>
      <c r="E34" s="227">
        <v>0.36095589099999997</v>
      </c>
      <c r="F34" s="18" t="s">
        <v>328</v>
      </c>
      <c r="G34" t="s">
        <v>329</v>
      </c>
    </row>
    <row r="35" spans="2:7" ht="14.5">
      <c r="B35" s="48" t="s">
        <v>330</v>
      </c>
      <c r="C35" s="238">
        <v>0.14529599500000001</v>
      </c>
      <c r="D35" s="237">
        <v>0.16789599499999999</v>
      </c>
      <c r="E35" s="237">
        <v>0.16789599499999999</v>
      </c>
      <c r="F35" t="s">
        <v>485</v>
      </c>
    </row>
    <row r="36" spans="2:7" ht="14.5">
      <c r="B36" s="48" t="s">
        <v>331</v>
      </c>
      <c r="C36" s="231">
        <f>C33*(C34-C35)</f>
        <v>105062821.91290107</v>
      </c>
      <c r="D36" s="231">
        <f>D33*(D34-D35)</f>
        <v>249129354.52165937</v>
      </c>
      <c r="E36" s="231">
        <f>E33*(E34-E35)</f>
        <v>201480147.56973004</v>
      </c>
    </row>
    <row r="37" spans="2:7" ht="14.5">
      <c r="B37" s="48" t="s">
        <v>332</v>
      </c>
      <c r="C37" s="227">
        <f>1/1.12028718</f>
        <v>0.89262826340653112</v>
      </c>
      <c r="D37" s="227">
        <f t="shared" ref="D37:E37" si="0">1/1.12028718</f>
        <v>0.89262826340653112</v>
      </c>
      <c r="E37" s="227">
        <f t="shared" si="0"/>
        <v>0.89262826340653112</v>
      </c>
      <c r="F37" t="s">
        <v>333</v>
      </c>
    </row>
    <row r="38" spans="2:7" ht="14.5">
      <c r="B38" s="48" t="s">
        <v>334</v>
      </c>
      <c r="C38" s="232">
        <f>C36*C37/10^6</f>
        <v>93.782044272702535</v>
      </c>
      <c r="D38" s="232">
        <f>D36*D37/10^6</f>
        <v>222.37990309025884</v>
      </c>
      <c r="E38" s="232">
        <f>E36*E37/10^6</f>
        <v>179.84687423605976</v>
      </c>
    </row>
    <row r="39" spans="2:7">
      <c r="B39" s="62"/>
    </row>
    <row r="40" spans="2:7">
      <c r="B40" s="10"/>
    </row>
    <row r="41" spans="2:7" ht="14.5">
      <c r="B41" s="234"/>
    </row>
    <row r="42" spans="2:7" s="19" customFormat="1">
      <c r="B42" s="20" t="s">
        <v>335</v>
      </c>
    </row>
    <row r="44" spans="2:7">
      <c r="C44" s="18"/>
    </row>
    <row r="47" spans="2:7" ht="14.5">
      <c r="B47" s="49"/>
      <c r="C47" s="5">
        <v>2030</v>
      </c>
    </row>
    <row r="48" spans="2:7" ht="14.5">
      <c r="B48" s="212" t="s">
        <v>336</v>
      </c>
      <c r="C48" s="213" t="s">
        <v>337</v>
      </c>
    </row>
    <row r="49" spans="2:3" ht="14.5">
      <c r="B49" s="49" t="s">
        <v>338</v>
      </c>
      <c r="C49" s="1">
        <v>268</v>
      </c>
    </row>
    <row r="50" spans="2:3" ht="14.5">
      <c r="B50" s="49" t="s">
        <v>339</v>
      </c>
      <c r="C50" s="1">
        <v>83</v>
      </c>
    </row>
    <row r="51" spans="2:3" ht="14.5">
      <c r="B51" s="49"/>
      <c r="C51" s="48"/>
    </row>
    <row r="52" spans="2:3">
      <c r="B52" s="39"/>
    </row>
    <row r="53" spans="2:3">
      <c r="B53" s="39"/>
    </row>
  </sheetData>
  <hyperlinks>
    <hyperlink ref="F34" r:id="rId1" location="annex-1-carbon-values-in-2020-prices-per-tonne-of-co2" xr:uid="{49017C6F-0734-413D-94DE-AFD7EF693A4E}"/>
  </hyperlinks>
  <pageMargins left="0.7" right="0.7" top="0.75" bottom="0.75" header="0.3" footer="0.3"/>
  <pageSetup paperSize="9"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32CC8-9490-4502-803E-5B88EE6EB723}">
  <sheetPr codeName="Sheet15"/>
  <dimension ref="B3:E31"/>
  <sheetViews>
    <sheetView workbookViewId="0"/>
  </sheetViews>
  <sheetFormatPr defaultRowHeight="14"/>
  <cols>
    <col min="2" max="2" width="14.25" bestFit="1" customWidth="1"/>
    <col min="4" max="4" width="18.75" bestFit="1" customWidth="1"/>
    <col min="5" max="5" width="15.25" customWidth="1"/>
    <col min="6" max="6" width="12.75" bestFit="1" customWidth="1"/>
  </cols>
  <sheetData>
    <row r="3" spans="2:5">
      <c r="B3" s="42" t="s">
        <v>4</v>
      </c>
      <c r="C3" t="s">
        <v>340</v>
      </c>
    </row>
    <row r="4" spans="2:5">
      <c r="B4" s="42" t="s">
        <v>341</v>
      </c>
      <c r="C4" t="s">
        <v>342</v>
      </c>
    </row>
    <row r="5" spans="2:5">
      <c r="B5" s="42" t="s">
        <v>8</v>
      </c>
      <c r="C5" t="s">
        <v>313</v>
      </c>
    </row>
    <row r="8" spans="2:5">
      <c r="B8" s="165" t="s">
        <v>10</v>
      </c>
    </row>
    <row r="10" spans="2:5">
      <c r="B10" t="s">
        <v>343</v>
      </c>
      <c r="C10" t="s">
        <v>344</v>
      </c>
    </row>
    <row r="12" spans="2:5">
      <c r="C12" s="42" t="s">
        <v>11</v>
      </c>
      <c r="D12" s="42" t="s">
        <v>70</v>
      </c>
      <c r="E12" s="42" t="s">
        <v>345</v>
      </c>
    </row>
    <row r="13" spans="2:5">
      <c r="C13" t="s">
        <v>19</v>
      </c>
      <c r="D13">
        <v>2030</v>
      </c>
      <c r="E13" s="166">
        <v>2086.2659191982998</v>
      </c>
    </row>
    <row r="14" spans="2:5">
      <c r="C14" t="s">
        <v>48</v>
      </c>
      <c r="D14">
        <v>2030</v>
      </c>
      <c r="E14" s="166">
        <v>2200.6403349582001</v>
      </c>
    </row>
    <row r="15" spans="2:5">
      <c r="C15" t="s">
        <v>49</v>
      </c>
      <c r="D15">
        <v>2030</v>
      </c>
      <c r="E15" s="166">
        <v>3413.01</v>
      </c>
    </row>
    <row r="18" spans="2:5">
      <c r="B18" t="s">
        <v>343</v>
      </c>
      <c r="C18" t="s">
        <v>346</v>
      </c>
    </row>
    <row r="20" spans="2:5">
      <c r="C20" s="42" t="s">
        <v>11</v>
      </c>
      <c r="D20" s="42" t="s">
        <v>70</v>
      </c>
      <c r="E20" s="42" t="s">
        <v>345</v>
      </c>
    </row>
    <row r="21" spans="2:5">
      <c r="C21" t="s">
        <v>19</v>
      </c>
      <c r="D21">
        <v>2030</v>
      </c>
      <c r="E21" s="166">
        <v>-2888.8903120553987</v>
      </c>
    </row>
    <row r="22" spans="2:5">
      <c r="C22" t="s">
        <v>48</v>
      </c>
      <c r="D22">
        <v>2030</v>
      </c>
      <c r="E22" s="166">
        <v>-3082.7247696522027</v>
      </c>
    </row>
    <row r="23" spans="2:5">
      <c r="C23" t="s">
        <v>49</v>
      </c>
      <c r="D23">
        <v>2030</v>
      </c>
      <c r="E23" s="166">
        <v>-2362.9</v>
      </c>
    </row>
    <row r="26" spans="2:5">
      <c r="B26" t="s">
        <v>347</v>
      </c>
    </row>
    <row r="27" spans="2:5">
      <c r="D27" t="s">
        <v>348</v>
      </c>
      <c r="E27" t="s">
        <v>349</v>
      </c>
    </row>
    <row r="28" spans="2:5">
      <c r="D28" s="13"/>
      <c r="E28" s="13"/>
    </row>
    <row r="29" spans="2:5">
      <c r="C29" t="s">
        <v>19</v>
      </c>
      <c r="D29" s="139">
        <f>E13+E21</f>
        <v>-802.62439285709888</v>
      </c>
      <c r="E29" s="139">
        <f>D29/'XR&amp;Inflation'!$C$24</f>
        <v>-684.24926927288902</v>
      </c>
    </row>
    <row r="30" spans="2:5">
      <c r="C30" t="s">
        <v>48</v>
      </c>
      <c r="D30" s="139">
        <f>E14+E22</f>
        <v>-882.08443469400254</v>
      </c>
      <c r="E30" s="139">
        <f>D30/'XR&amp;Inflation'!$C$24</f>
        <v>-751.99014040409418</v>
      </c>
    </row>
    <row r="31" spans="2:5">
      <c r="C31" t="s">
        <v>49</v>
      </c>
      <c r="D31" s="139">
        <f>E15+E23</f>
        <v>1050.1100000000001</v>
      </c>
      <c r="E31" s="139">
        <f>D31/'XR&amp;Inflation'!$C$24</f>
        <v>895.23444160272811</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6D09A-7FB0-40CD-80F5-A631422D062E}">
  <sheetPr codeName="Sheet13"/>
  <dimension ref="A1:S39"/>
  <sheetViews>
    <sheetView workbookViewId="0"/>
  </sheetViews>
  <sheetFormatPr defaultRowHeight="14"/>
  <cols>
    <col min="2" max="2" width="18.75" customWidth="1"/>
    <col min="4" max="4" width="32.4140625" customWidth="1"/>
    <col min="5" max="5" width="4.25" customWidth="1"/>
    <col min="6" max="19" width="16.25" customWidth="1"/>
  </cols>
  <sheetData>
    <row r="1" spans="1:19">
      <c r="A1" s="42" t="s">
        <v>4</v>
      </c>
      <c r="B1" t="s">
        <v>350</v>
      </c>
    </row>
    <row r="2" spans="1:19">
      <c r="A2" s="42" t="s">
        <v>341</v>
      </c>
      <c r="B2" t="s">
        <v>351</v>
      </c>
    </row>
    <row r="3" spans="1:19">
      <c r="A3" s="42" t="s">
        <v>245</v>
      </c>
      <c r="B3" t="s">
        <v>352</v>
      </c>
    </row>
    <row r="5" spans="1:19">
      <c r="A5" s="51"/>
      <c r="B5" s="51" t="s">
        <v>353</v>
      </c>
      <c r="C5" s="51"/>
      <c r="D5" s="51"/>
      <c r="E5" s="51"/>
      <c r="F5" s="51"/>
      <c r="G5" s="51"/>
      <c r="H5" s="51"/>
      <c r="I5" s="51"/>
      <c r="J5" s="51"/>
      <c r="K5" s="51"/>
      <c r="L5" s="51"/>
      <c r="M5" s="51"/>
      <c r="N5" s="51"/>
      <c r="O5" s="51"/>
      <c r="P5" s="51"/>
      <c r="Q5" s="51"/>
      <c r="R5" s="51"/>
      <c r="S5" s="51"/>
    </row>
    <row r="7" spans="1:19">
      <c r="D7" s="44"/>
      <c r="E7" s="44"/>
      <c r="F7" s="44" t="s">
        <v>354</v>
      </c>
      <c r="G7" s="44"/>
      <c r="H7" s="44"/>
      <c r="I7" s="44"/>
      <c r="J7" s="44"/>
      <c r="K7" s="44" t="s">
        <v>355</v>
      </c>
      <c r="L7" s="44"/>
      <c r="M7" s="44"/>
      <c r="N7" s="44"/>
      <c r="O7" s="44"/>
      <c r="P7" s="44" t="s">
        <v>356</v>
      </c>
      <c r="Q7" s="44"/>
      <c r="R7" s="44"/>
      <c r="S7" s="44"/>
    </row>
    <row r="8" spans="1:19">
      <c r="D8" s="44" t="s">
        <v>357</v>
      </c>
      <c r="E8" s="44"/>
      <c r="F8" s="44" t="s">
        <v>358</v>
      </c>
      <c r="G8" s="44" t="s">
        <v>359</v>
      </c>
      <c r="H8" s="44" t="s">
        <v>33</v>
      </c>
      <c r="I8" s="44" t="s">
        <v>34</v>
      </c>
      <c r="J8" s="44"/>
      <c r="K8" s="44" t="s">
        <v>358</v>
      </c>
      <c r="L8" s="44" t="s">
        <v>359</v>
      </c>
      <c r="M8" s="44" t="s">
        <v>33</v>
      </c>
      <c r="N8" s="44" t="s">
        <v>34</v>
      </c>
      <c r="O8" s="44"/>
      <c r="P8" s="44" t="s">
        <v>358</v>
      </c>
      <c r="Q8" s="44" t="s">
        <v>359</v>
      </c>
      <c r="R8" s="44" t="s">
        <v>33</v>
      </c>
      <c r="S8" s="44" t="s">
        <v>34</v>
      </c>
    </row>
    <row r="11" spans="1:19">
      <c r="D11" t="s">
        <v>360</v>
      </c>
      <c r="F11" s="187">
        <f>F21*F23</f>
        <v>58.243891347834484</v>
      </c>
      <c r="G11" s="187">
        <f>G21*G23</f>
        <v>42.136770870078628</v>
      </c>
      <c r="H11" s="187">
        <f>H21*H23</f>
        <v>52.059300784645529</v>
      </c>
      <c r="I11" s="187">
        <f>I21*I23</f>
        <v>69.906262124133661</v>
      </c>
      <c r="J11" s="187"/>
      <c r="K11" s="187">
        <f>K21*K23</f>
        <v>81.781772377095777</v>
      </c>
      <c r="L11" s="187">
        <f>L21*L23</f>
        <v>59.165342909917598</v>
      </c>
      <c r="M11" s="187">
        <f>M21*M23</f>
        <v>73.097826885478838</v>
      </c>
      <c r="N11" s="187">
        <f>N21*N23</f>
        <v>98.157212447001996</v>
      </c>
      <c r="O11" s="187"/>
      <c r="P11" s="187">
        <f>P21*P23</f>
        <v>235.39279153168508</v>
      </c>
      <c r="Q11" s="187">
        <f>Q21*Q23</f>
        <v>170.29583518044896</v>
      </c>
      <c r="R11" s="187">
        <f>R21*R23</f>
        <v>210.39775765842563</v>
      </c>
      <c r="S11" s="187">
        <f>S21*S23</f>
        <v>282.52628397840289</v>
      </c>
    </row>
    <row r="12" spans="1:19">
      <c r="D12" t="s">
        <v>361</v>
      </c>
      <c r="F12" s="187">
        <f>F20*F23*F25/1000*(1-F27)</f>
        <v>71.383438380281333</v>
      </c>
      <c r="G12" s="187">
        <f>G20*G23*G25/1000*(1-G27)</f>
        <v>51.642627532992336</v>
      </c>
      <c r="H12" s="187">
        <f>H20*H23*H25/1000*(1-H27)</f>
        <v>1.9141090011422013</v>
      </c>
      <c r="I12" s="187">
        <f>I20*I23*I25/1000*(1-I27)</f>
        <v>85.67678496844502</v>
      </c>
      <c r="J12" s="187"/>
      <c r="K12" s="187">
        <f>K20*K23*K25/1000*(1-K27)</f>
        <v>71.383438380281333</v>
      </c>
      <c r="L12" s="187">
        <f>L20*L23*L25/1000*(1-L27)</f>
        <v>51.642627532992336</v>
      </c>
      <c r="M12" s="187">
        <f>M20*M23*M25/1000*(1-M27)</f>
        <v>1.9141090011422013</v>
      </c>
      <c r="N12" s="187">
        <f>N20*N23*N25/1000*(1-N27)</f>
        <v>85.67678496844502</v>
      </c>
      <c r="O12" s="187"/>
      <c r="P12" s="187">
        <f>P20*P23*P25/1000*(1-P27)</f>
        <v>71.383438380281333</v>
      </c>
      <c r="Q12" s="187">
        <f>Q20*Q23*Q25/1000*(1-Q27)</f>
        <v>51.642627532992336</v>
      </c>
      <c r="R12" s="187">
        <f>R20*R23*R25/1000*(1-R27)</f>
        <v>1.9141090011422013</v>
      </c>
      <c r="S12" s="187">
        <f>S20*S23*S25/1000*(1-S27)</f>
        <v>85.67678496844502</v>
      </c>
    </row>
    <row r="13" spans="1:19">
      <c r="D13" t="s">
        <v>362</v>
      </c>
      <c r="F13" s="187">
        <f>F28*F23*F25/1000*F27</f>
        <v>0</v>
      </c>
      <c r="G13" s="187">
        <f>G28*G23*G25/1000*G27</f>
        <v>0</v>
      </c>
      <c r="H13" s="187">
        <f>H28*H23*H25/1000*H27</f>
        <v>7.8476093140076655</v>
      </c>
      <c r="I13" s="187">
        <f>I28*I23*I25/1000*I27</f>
        <v>0</v>
      </c>
      <c r="J13" s="187"/>
      <c r="K13" s="187">
        <f>K28*K23*K25/1000*K27</f>
        <v>0</v>
      </c>
      <c r="L13" s="187">
        <f>L28*L23*L25/1000*L27</f>
        <v>0</v>
      </c>
      <c r="M13" s="187">
        <f>M28*M23*M25/1000*M27</f>
        <v>7.8476093140076655</v>
      </c>
      <c r="N13" s="187">
        <f>N28*N23*N25/1000*N27</f>
        <v>0</v>
      </c>
      <c r="O13" s="187"/>
      <c r="P13" s="187">
        <f>P28*P23*P25/1000*P27</f>
        <v>0</v>
      </c>
      <c r="Q13" s="187">
        <f>Q28*Q23*Q25/1000*Q27</f>
        <v>0</v>
      </c>
      <c r="R13" s="187">
        <f>R28*R23*R25/1000*R27</f>
        <v>7.8476093140076655</v>
      </c>
      <c r="S13" s="187">
        <f>S28*S23*S25/1000*S27</f>
        <v>0</v>
      </c>
    </row>
    <row r="14" spans="1:19">
      <c r="D14" t="s">
        <v>363</v>
      </c>
      <c r="F14" s="187">
        <f>F24</f>
        <v>1.3640238704177323</v>
      </c>
      <c r="G14" s="187">
        <f>G24</f>
        <v>1.3640238704177323</v>
      </c>
      <c r="H14" s="187">
        <f>H24</f>
        <v>1.3640238704177323</v>
      </c>
      <c r="I14" s="187">
        <f>I24</f>
        <v>1.3640238704177323</v>
      </c>
      <c r="J14" s="187"/>
      <c r="K14" s="187">
        <f>K24</f>
        <v>1.3640238704177323</v>
      </c>
      <c r="L14" s="187">
        <f>L24</f>
        <v>1.3640238704177323</v>
      </c>
      <c r="M14" s="187">
        <f>M24</f>
        <v>1.3640238704177323</v>
      </c>
      <c r="N14" s="187">
        <f>N24</f>
        <v>1.3640238704177323</v>
      </c>
      <c r="O14" s="187"/>
      <c r="P14" s="187">
        <f>P24</f>
        <v>1.3640238704177323</v>
      </c>
      <c r="Q14" s="187">
        <f>Q24</f>
        <v>1.3640238704177323</v>
      </c>
      <c r="R14" s="187">
        <f>R24</f>
        <v>1.3640238704177323</v>
      </c>
      <c r="S14" s="187">
        <f>S24</f>
        <v>1.3640238704177323</v>
      </c>
    </row>
    <row r="15" spans="1:19">
      <c r="D15" s="184"/>
      <c r="E15" s="184"/>
      <c r="F15" s="185"/>
      <c r="G15" s="185"/>
      <c r="H15" s="185"/>
      <c r="I15" s="185"/>
      <c r="J15" s="17"/>
      <c r="K15" s="185"/>
      <c r="L15" s="185"/>
      <c r="M15" s="185"/>
      <c r="N15" s="185"/>
      <c r="O15" s="17"/>
      <c r="P15" s="185"/>
      <c r="Q15" s="185"/>
      <c r="R15" s="185"/>
      <c r="S15" s="185"/>
    </row>
    <row r="16" spans="1:19">
      <c r="D16" s="5" t="s">
        <v>117</v>
      </c>
      <c r="E16" s="5"/>
      <c r="F16" s="188">
        <f>SUM(F11:F14)</f>
        <v>130.99135359853355</v>
      </c>
      <c r="G16" s="188">
        <f>SUM(G11:G14)</f>
        <v>95.143422273488696</v>
      </c>
      <c r="H16" s="188">
        <f>SUM(H11:H14)</f>
        <v>63.185042970213125</v>
      </c>
      <c r="I16" s="188">
        <f>SUM(I11:I14)</f>
        <v>156.94707096299641</v>
      </c>
      <c r="J16" s="188"/>
      <c r="K16" s="188">
        <f>SUM(K11:K14)</f>
        <v>154.52923462779484</v>
      </c>
      <c r="L16" s="188">
        <f>SUM(L11:L14)</f>
        <v>112.17199431332767</v>
      </c>
      <c r="M16" s="188">
        <f>SUM(M11:M14)</f>
        <v>84.223569071046455</v>
      </c>
      <c r="N16" s="188">
        <f>SUM(N11:N14)</f>
        <v>185.19802128586474</v>
      </c>
      <c r="O16" s="188"/>
      <c r="P16" s="188">
        <f>SUM(P11:P14)</f>
        <v>308.14025378238415</v>
      </c>
      <c r="Q16" s="188">
        <f>SUM(Q11:Q14)</f>
        <v>223.30248658385904</v>
      </c>
      <c r="R16" s="188">
        <f>SUM(R11:R14)</f>
        <v>221.52349984399322</v>
      </c>
      <c r="S16" s="188">
        <f>SUM(S11:S14)</f>
        <v>369.56709281726563</v>
      </c>
    </row>
    <row r="17" spans="1:19">
      <c r="F17" s="17"/>
      <c r="G17" s="17"/>
      <c r="H17" s="17"/>
      <c r="I17" s="17"/>
      <c r="J17" s="17"/>
      <c r="K17" s="17"/>
      <c r="L17" s="17"/>
      <c r="M17" s="17"/>
      <c r="N17" s="17"/>
      <c r="O17" s="17"/>
      <c r="P17" s="17"/>
      <c r="Q17" s="17"/>
      <c r="R17" s="17"/>
      <c r="S17" s="17"/>
    </row>
    <row r="18" spans="1:19">
      <c r="A18" s="183" t="s">
        <v>364</v>
      </c>
      <c r="F18" s="17"/>
      <c r="G18" s="17"/>
      <c r="H18" s="17"/>
      <c r="I18" s="17"/>
      <c r="J18" s="17"/>
      <c r="K18" s="17"/>
      <c r="L18" s="17"/>
      <c r="M18" s="17"/>
      <c r="N18" s="17"/>
      <c r="O18" s="17"/>
      <c r="P18" s="17"/>
      <c r="Q18" s="17"/>
      <c r="R18" s="17"/>
      <c r="S18" s="17"/>
    </row>
    <row r="19" spans="1:19">
      <c r="A19" s="183"/>
      <c r="B19" s="42" t="s">
        <v>59</v>
      </c>
      <c r="C19" s="42" t="s">
        <v>138</v>
      </c>
      <c r="D19" s="42" t="s">
        <v>8</v>
      </c>
      <c r="E19" s="119"/>
      <c r="F19" s="17"/>
      <c r="G19" s="17"/>
      <c r="H19" s="17"/>
      <c r="I19" s="17"/>
      <c r="J19" s="17"/>
      <c r="K19" s="17"/>
      <c r="L19" s="17"/>
      <c r="M19" s="17"/>
      <c r="N19" s="17"/>
      <c r="O19" s="17"/>
      <c r="P19" s="17"/>
      <c r="Q19" s="17"/>
      <c r="R19" s="17"/>
      <c r="S19" s="17"/>
    </row>
    <row r="20" spans="1:19">
      <c r="B20" t="s">
        <v>365</v>
      </c>
      <c r="C20" t="s">
        <v>366</v>
      </c>
      <c r="D20" t="s">
        <v>367</v>
      </c>
      <c r="F20" s="148">
        <v>147.95396419437341</v>
      </c>
      <c r="G20" s="148">
        <v>147.95396419437341</v>
      </c>
      <c r="H20" s="148">
        <v>147.95396419437341</v>
      </c>
      <c r="I20" s="148">
        <v>147.95396419437341</v>
      </c>
      <c r="J20" s="148"/>
      <c r="K20" s="148">
        <v>147.95396419437341</v>
      </c>
      <c r="L20" s="148">
        <v>147.95396419437341</v>
      </c>
      <c r="M20" s="148">
        <v>147.95396419437341</v>
      </c>
      <c r="N20" s="148">
        <v>147.95396419437341</v>
      </c>
      <c r="O20" s="148"/>
      <c r="P20" s="148">
        <v>147.95396419437341</v>
      </c>
      <c r="Q20" s="148">
        <v>147.95396419437341</v>
      </c>
      <c r="R20" s="148">
        <v>147.95396419437341</v>
      </c>
      <c r="S20" s="148">
        <v>147.95396419437341</v>
      </c>
    </row>
    <row r="21" spans="1:19">
      <c r="B21" t="s">
        <v>368</v>
      </c>
      <c r="C21" t="s">
        <v>369</v>
      </c>
      <c r="D21" t="s">
        <v>370</v>
      </c>
      <c r="F21" s="148">
        <v>6.7962533661417135</v>
      </c>
      <c r="G21" s="148">
        <v>6.7962533661417135</v>
      </c>
      <c r="H21" s="148">
        <v>6.7962533661417135</v>
      </c>
      <c r="I21" s="148">
        <v>6.7962533661417135</v>
      </c>
      <c r="J21" s="148"/>
      <c r="K21" s="148">
        <v>9.5427972435350963</v>
      </c>
      <c r="L21" s="148">
        <v>9.5427972435350963</v>
      </c>
      <c r="M21" s="148">
        <v>9.5427972435350963</v>
      </c>
      <c r="N21" s="148">
        <v>9.5427972435350963</v>
      </c>
      <c r="O21" s="148"/>
      <c r="P21" s="148">
        <v>27.467070190394992</v>
      </c>
      <c r="Q21" s="148">
        <v>27.467070190394992</v>
      </c>
      <c r="R21" s="148">
        <v>27.467070190394992</v>
      </c>
      <c r="S21" s="148">
        <v>27.467070190394992</v>
      </c>
    </row>
    <row r="22" spans="1:19">
      <c r="F22" s="148"/>
      <c r="G22" s="148"/>
      <c r="H22" s="148"/>
      <c r="I22" s="148"/>
      <c r="J22" s="148"/>
      <c r="K22" s="148"/>
      <c r="L22" s="148"/>
      <c r="M22" s="148"/>
      <c r="N22" s="148"/>
      <c r="O22" s="148"/>
      <c r="P22" s="148"/>
      <c r="Q22" s="148"/>
      <c r="R22" s="148"/>
      <c r="S22" s="148"/>
    </row>
    <row r="23" spans="1:19">
      <c r="B23" t="s">
        <v>371</v>
      </c>
      <c r="C23" t="s">
        <v>372</v>
      </c>
      <c r="D23" t="s">
        <v>367</v>
      </c>
      <c r="F23" s="148">
        <v>8.57</v>
      </c>
      <c r="G23" s="148">
        <v>6.2</v>
      </c>
      <c r="H23" s="148">
        <v>7.66</v>
      </c>
      <c r="I23" s="148">
        <v>10.286</v>
      </c>
      <c r="J23" s="148"/>
      <c r="K23" s="148">
        <v>8.57</v>
      </c>
      <c r="L23" s="148">
        <v>6.2</v>
      </c>
      <c r="M23" s="148">
        <v>7.66</v>
      </c>
      <c r="N23" s="148">
        <v>10.286</v>
      </c>
      <c r="O23" s="148"/>
      <c r="P23" s="148">
        <v>8.57</v>
      </c>
      <c r="Q23" s="148">
        <v>6.2</v>
      </c>
      <c r="R23" s="148">
        <v>7.66</v>
      </c>
      <c r="S23" s="148">
        <v>10.286</v>
      </c>
    </row>
    <row r="24" spans="1:19">
      <c r="B24" t="s">
        <v>363</v>
      </c>
      <c r="C24" t="s">
        <v>351</v>
      </c>
      <c r="D24" t="s">
        <v>367</v>
      </c>
      <c r="F24" s="148">
        <v>1.3640238704177323</v>
      </c>
      <c r="G24" s="148">
        <v>1.3640238704177323</v>
      </c>
      <c r="H24" s="148">
        <v>1.3640238704177323</v>
      </c>
      <c r="I24" s="148">
        <v>1.3640238704177323</v>
      </c>
      <c r="J24" s="148"/>
      <c r="K24" s="148">
        <v>1.3640238704177323</v>
      </c>
      <c r="L24" s="148">
        <v>1.3640238704177323</v>
      </c>
      <c r="M24" s="148">
        <v>1.3640238704177323</v>
      </c>
      <c r="N24" s="148">
        <v>1.3640238704177323</v>
      </c>
      <c r="O24" s="148"/>
      <c r="P24" s="148">
        <v>1.3640238704177323</v>
      </c>
      <c r="Q24" s="148">
        <v>1.3640238704177323</v>
      </c>
      <c r="R24" s="148">
        <v>1.3640238704177323</v>
      </c>
      <c r="S24" s="148">
        <v>1.3640238704177323</v>
      </c>
    </row>
    <row r="25" spans="1:19">
      <c r="B25" t="s">
        <v>373</v>
      </c>
      <c r="C25" t="s">
        <v>374</v>
      </c>
      <c r="D25" t="s">
        <v>367</v>
      </c>
      <c r="F25" s="148">
        <v>56.297620000000002</v>
      </c>
      <c r="G25" s="148">
        <v>56.297620000000002</v>
      </c>
      <c r="H25" s="148">
        <v>56.297620000000002</v>
      </c>
      <c r="I25" s="148">
        <v>56.297620000000002</v>
      </c>
      <c r="J25" s="148"/>
      <c r="K25" s="148">
        <v>56.297620000000002</v>
      </c>
      <c r="L25" s="148">
        <v>56.297620000000002</v>
      </c>
      <c r="M25" s="148">
        <v>56.297620000000002</v>
      </c>
      <c r="N25" s="148">
        <v>56.297620000000002</v>
      </c>
      <c r="O25" s="148"/>
      <c r="P25" s="148">
        <v>56.297620000000002</v>
      </c>
      <c r="Q25" s="148">
        <v>56.297620000000002</v>
      </c>
      <c r="R25" s="148">
        <v>56.297620000000002</v>
      </c>
      <c r="S25" s="148">
        <v>56.297620000000002</v>
      </c>
    </row>
    <row r="26" spans="1:19">
      <c r="F26" s="17"/>
      <c r="G26" s="17"/>
      <c r="H26" s="17"/>
      <c r="I26" s="17"/>
      <c r="J26" s="17"/>
      <c r="K26" s="17"/>
      <c r="L26" s="17"/>
      <c r="M26" s="17"/>
      <c r="N26" s="17"/>
      <c r="O26" s="17"/>
      <c r="P26" s="17"/>
      <c r="Q26" s="17"/>
      <c r="R26" s="17"/>
      <c r="S26" s="17"/>
    </row>
    <row r="27" spans="1:19">
      <c r="B27" t="s">
        <v>375</v>
      </c>
      <c r="C27" s="27" t="s">
        <v>57</v>
      </c>
      <c r="F27" s="186">
        <v>0</v>
      </c>
      <c r="G27" s="186">
        <v>0</v>
      </c>
      <c r="H27" s="186">
        <v>0.97</v>
      </c>
      <c r="I27" s="186">
        <v>0</v>
      </c>
      <c r="J27" s="186"/>
      <c r="K27" s="186">
        <v>0</v>
      </c>
      <c r="L27" s="186">
        <v>0</v>
      </c>
      <c r="M27" s="186">
        <v>0.97</v>
      </c>
      <c r="N27" s="186">
        <v>0</v>
      </c>
      <c r="O27" s="186"/>
      <c r="P27" s="186">
        <v>0</v>
      </c>
      <c r="Q27" s="186">
        <v>0</v>
      </c>
      <c r="R27" s="186">
        <v>0.97</v>
      </c>
      <c r="S27" s="186">
        <v>0</v>
      </c>
    </row>
    <row r="28" spans="1:19">
      <c r="B28" t="s">
        <v>376</v>
      </c>
      <c r="C28" s="27" t="s">
        <v>366</v>
      </c>
      <c r="D28" s="18" t="s">
        <v>270</v>
      </c>
      <c r="E28" s="18"/>
      <c r="F28" s="148">
        <v>18.760604791688753</v>
      </c>
      <c r="G28" s="148">
        <v>18.760604791688753</v>
      </c>
      <c r="H28" s="148">
        <v>18.760604791688753</v>
      </c>
      <c r="I28" s="148">
        <v>18.760604791688753</v>
      </c>
      <c r="J28" s="148"/>
      <c r="K28" s="148">
        <v>18.760604791688753</v>
      </c>
      <c r="L28" s="148">
        <v>18.760604791688753</v>
      </c>
      <c r="M28" s="148">
        <v>18.760604791688753</v>
      </c>
      <c r="N28" s="148">
        <v>18.760604791688753</v>
      </c>
      <c r="O28" s="148"/>
      <c r="P28" s="148">
        <v>18.760604791688753</v>
      </c>
      <c r="Q28" s="148">
        <v>18.760604791688753</v>
      </c>
      <c r="R28" s="148">
        <v>18.760604791688753</v>
      </c>
      <c r="S28" s="148">
        <v>18.760604791688753</v>
      </c>
    </row>
    <row r="29" spans="1:19">
      <c r="F29" s="119"/>
      <c r="G29" s="119"/>
      <c r="H29" s="119"/>
      <c r="I29" s="119"/>
      <c r="J29" s="119"/>
      <c r="K29" s="119"/>
      <c r="L29" s="119"/>
      <c r="M29" s="119"/>
      <c r="N29" s="119"/>
      <c r="O29" s="119"/>
      <c r="P29" s="119"/>
      <c r="Q29" s="119"/>
      <c r="R29" s="119"/>
      <c r="S29" s="119"/>
    </row>
    <row r="30" spans="1:19">
      <c r="F30" s="119"/>
      <c r="G30" s="119"/>
      <c r="H30" s="119"/>
      <c r="I30" s="119"/>
      <c r="J30" s="119"/>
      <c r="K30" s="119"/>
      <c r="L30" s="119"/>
      <c r="M30" s="119"/>
      <c r="N30" s="119"/>
      <c r="O30" s="119"/>
      <c r="P30" s="119"/>
      <c r="Q30" s="119"/>
      <c r="R30" s="119"/>
      <c r="S30" s="119"/>
    </row>
    <row r="31" spans="1:19">
      <c r="D31" t="s">
        <v>377</v>
      </c>
      <c r="F31" s="119">
        <f>F25*F23</f>
        <v>482.47060340000002</v>
      </c>
      <c r="G31" s="119">
        <f>G25*G23</f>
        <v>349.04524400000003</v>
      </c>
      <c r="H31" s="119"/>
      <c r="I31" s="119"/>
      <c r="J31" s="119"/>
      <c r="K31" s="119"/>
      <c r="L31" s="119"/>
      <c r="M31" s="119"/>
      <c r="N31" s="119"/>
      <c r="O31" s="119"/>
      <c r="P31" s="119"/>
      <c r="Q31" s="119"/>
      <c r="R31" s="119"/>
      <c r="S31" s="119"/>
    </row>
    <row r="32" spans="1:19">
      <c r="F32" s="119"/>
      <c r="G32" s="119"/>
      <c r="H32" s="119"/>
      <c r="I32" s="119"/>
      <c r="J32" s="119"/>
      <c r="K32" s="119"/>
      <c r="L32" s="119"/>
      <c r="M32" s="119"/>
      <c r="N32" s="119"/>
      <c r="O32" s="119"/>
      <c r="P32" s="119"/>
      <c r="Q32" s="119"/>
      <c r="R32" s="119"/>
      <c r="S32" s="119"/>
    </row>
    <row r="33" spans="6:19">
      <c r="F33" s="119"/>
      <c r="G33" s="119"/>
      <c r="H33" s="119"/>
      <c r="I33" s="119"/>
      <c r="J33" s="119"/>
      <c r="K33" s="119"/>
      <c r="L33" s="119"/>
      <c r="M33" s="119"/>
      <c r="N33" s="119"/>
      <c r="O33" s="119"/>
      <c r="P33" s="119"/>
      <c r="Q33" s="119"/>
      <c r="R33" s="119"/>
      <c r="S33" s="119"/>
    </row>
    <row r="34" spans="6:19">
      <c r="F34" s="119"/>
      <c r="G34" s="119"/>
      <c r="H34" s="119"/>
      <c r="I34" s="119"/>
      <c r="J34" s="119"/>
      <c r="K34" s="119"/>
      <c r="L34" s="119"/>
      <c r="M34" s="119"/>
      <c r="N34" s="119"/>
      <c r="O34" s="119"/>
      <c r="P34" s="119"/>
      <c r="Q34" s="119"/>
      <c r="R34" s="119"/>
      <c r="S34" s="119"/>
    </row>
    <row r="35" spans="6:19">
      <c r="F35" s="119"/>
      <c r="G35" s="119"/>
      <c r="H35" s="119"/>
      <c r="I35" s="119"/>
      <c r="J35" s="119"/>
      <c r="K35" s="119"/>
      <c r="L35" s="119"/>
      <c r="M35" s="119"/>
      <c r="N35" s="119"/>
      <c r="O35" s="119"/>
      <c r="P35" s="119"/>
      <c r="Q35" s="119"/>
      <c r="R35" s="119"/>
      <c r="S35" s="119"/>
    </row>
    <row r="36" spans="6:19">
      <c r="F36" s="119"/>
      <c r="G36" s="119"/>
      <c r="H36" s="119"/>
      <c r="I36" s="119"/>
      <c r="J36" s="119"/>
      <c r="K36" s="119"/>
      <c r="L36" s="119"/>
      <c r="M36" s="119"/>
      <c r="N36" s="119"/>
      <c r="O36" s="119"/>
      <c r="P36" s="119"/>
      <c r="Q36" s="119"/>
      <c r="R36" s="119"/>
      <c r="S36" s="119"/>
    </row>
    <row r="37" spans="6:19">
      <c r="F37" s="119"/>
      <c r="G37" s="119"/>
      <c r="H37" s="119"/>
      <c r="I37" s="119"/>
      <c r="J37" s="119"/>
      <c r="K37" s="119"/>
      <c r="L37" s="119"/>
      <c r="M37" s="119"/>
      <c r="N37" s="119"/>
      <c r="O37" s="119"/>
      <c r="P37" s="119"/>
      <c r="Q37" s="119"/>
      <c r="R37" s="119"/>
      <c r="S37" s="119"/>
    </row>
    <row r="38" spans="6:19">
      <c r="F38" s="119"/>
      <c r="G38" s="119"/>
      <c r="H38" s="119"/>
      <c r="I38" s="119"/>
      <c r="J38" s="119"/>
      <c r="K38" s="119"/>
      <c r="L38" s="119"/>
      <c r="M38" s="119"/>
      <c r="N38" s="119"/>
      <c r="O38" s="119"/>
      <c r="P38" s="119"/>
      <c r="Q38" s="119"/>
      <c r="R38" s="119"/>
      <c r="S38" s="119"/>
    </row>
    <row r="39" spans="6:19">
      <c r="F39" s="119"/>
      <c r="G39" s="119"/>
      <c r="H39" s="119"/>
      <c r="I39" s="119"/>
      <c r="J39" s="119"/>
      <c r="K39" s="119"/>
      <c r="L39" s="119"/>
      <c r="M39" s="119"/>
      <c r="N39" s="119"/>
      <c r="O39" s="119"/>
      <c r="P39" s="119"/>
      <c r="Q39" s="119"/>
      <c r="R39" s="119"/>
      <c r="S39" s="119"/>
    </row>
  </sheetData>
  <hyperlinks>
    <hyperlink ref="D28" r:id="rId1" display="https://www.eti.co.uk/programmes/carbon-capture-storage/strategic-uk-ccs-storage-appraisal" xr:uid="{CA6E9AC9-DCFE-4123-B865-EF3AFF0D8F8B}"/>
  </hyperlinks>
  <pageMargins left="0.7" right="0.7" top="0.75" bottom="0.75" header="0.3" footer="0.3"/>
  <pageSetup paperSize="9"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C12A4-4DDC-41EE-940A-60026F6615AC}">
  <sheetPr codeName="Sheet17"/>
  <dimension ref="B3:E11"/>
  <sheetViews>
    <sheetView workbookViewId="0"/>
  </sheetViews>
  <sheetFormatPr defaultRowHeight="14"/>
  <cols>
    <col min="2" max="2" width="18.25" customWidth="1"/>
  </cols>
  <sheetData>
    <row r="3" spans="2:5">
      <c r="B3" s="42" t="s">
        <v>4</v>
      </c>
      <c r="C3" t="s">
        <v>378</v>
      </c>
    </row>
    <row r="4" spans="2:5">
      <c r="B4" s="42" t="s">
        <v>341</v>
      </c>
      <c r="C4" t="s">
        <v>91</v>
      </c>
    </row>
    <row r="5" spans="2:5">
      <c r="B5" s="42" t="s">
        <v>8</v>
      </c>
      <c r="C5" s="62" t="s">
        <v>196</v>
      </c>
    </row>
    <row r="7" spans="2:5">
      <c r="B7" s="42" t="s">
        <v>214</v>
      </c>
      <c r="C7" s="42" t="s">
        <v>49</v>
      </c>
      <c r="D7" s="42" t="s">
        <v>19</v>
      </c>
      <c r="E7" s="42" t="s">
        <v>48</v>
      </c>
    </row>
    <row r="8" spans="2:5">
      <c r="B8" s="25" t="s">
        <v>205</v>
      </c>
      <c r="C8" s="148">
        <v>19.53192</v>
      </c>
      <c r="D8" s="148">
        <v>27.38345</v>
      </c>
      <c r="E8" s="148">
        <v>22.62537</v>
      </c>
    </row>
    <row r="9" spans="2:5">
      <c r="B9" s="25" t="s">
        <v>206</v>
      </c>
      <c r="C9" s="148">
        <v>3.29E-3</v>
      </c>
      <c r="D9" s="148">
        <v>3.29E-3</v>
      </c>
      <c r="E9" s="148">
        <v>3.29E-3</v>
      </c>
    </row>
    <row r="10" spans="2:5">
      <c r="B10" s="25" t="s">
        <v>207</v>
      </c>
      <c r="C10" s="148">
        <v>0.15469999999999998</v>
      </c>
      <c r="D10" s="148">
        <v>2.4546999999999999</v>
      </c>
      <c r="E10" s="148">
        <v>0.45469999999999999</v>
      </c>
    </row>
    <row r="11" spans="2:5">
      <c r="B11" s="25" t="s">
        <v>379</v>
      </c>
      <c r="C11" s="148">
        <f>DeployedCapacities!F59/1000</f>
        <v>2.7440000000000002</v>
      </c>
      <c r="D11" s="148">
        <f>DeployedCapacities!D59/1000</f>
        <v>5.3998999999999997</v>
      </c>
      <c r="E11" s="148">
        <f>DeployedCapacities!E59/1000</f>
        <v>4.1158999999999999</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1F9C4-4D43-47EE-B0C9-7593D2AD27D2}">
  <sheetPr codeName="Sheet20"/>
  <dimension ref="C2:AM108"/>
  <sheetViews>
    <sheetView topLeftCell="B1" zoomScale="30" zoomScaleNormal="30" workbookViewId="0">
      <selection activeCell="E43" sqref="E43"/>
    </sheetView>
  </sheetViews>
  <sheetFormatPr defaultRowHeight="14"/>
  <cols>
    <col min="1" max="1" width="11.75" customWidth="1"/>
    <col min="2" max="2" width="11" customWidth="1"/>
    <col min="3" max="3" width="28.25" bestFit="1" customWidth="1"/>
    <col min="4" max="4" width="76.75" customWidth="1"/>
    <col min="5" max="7" width="10.25" customWidth="1"/>
    <col min="8" max="8" width="26" bestFit="1" customWidth="1"/>
    <col min="9" max="14" width="16.25" customWidth="1"/>
    <col min="15" max="16" width="10.25" customWidth="1"/>
    <col min="17" max="17" width="9.25" customWidth="1"/>
    <col min="18" max="19" width="10.25" customWidth="1"/>
    <col min="20" max="20" width="15.75" customWidth="1"/>
    <col min="21" max="24" width="10.25" customWidth="1"/>
    <col min="25" max="25" width="10.75" customWidth="1"/>
    <col min="26" max="26" width="22.4140625" customWidth="1"/>
    <col min="27" max="28" width="10.75" customWidth="1"/>
    <col min="29" max="31" width="11.75" customWidth="1"/>
    <col min="32" max="32" width="18.25" bestFit="1" customWidth="1"/>
    <col min="33" max="35" width="12" customWidth="1"/>
    <col min="36" max="38" width="11.75" customWidth="1"/>
    <col min="39" max="41" width="10.75" customWidth="1"/>
  </cols>
  <sheetData>
    <row r="2" spans="3:39">
      <c r="C2" t="s">
        <v>391</v>
      </c>
      <c r="D2" t="s">
        <v>392</v>
      </c>
    </row>
    <row r="4" spans="3:39" ht="15" customHeight="1"/>
    <row r="5" spans="3:39" ht="14.9" customHeight="1">
      <c r="C5" t="s">
        <v>393</v>
      </c>
      <c r="E5" s="103">
        <v>45292</v>
      </c>
    </row>
    <row r="6" spans="3:39" ht="14.9" customHeight="1"/>
    <row r="8" spans="3:39">
      <c r="D8" s="24" t="s">
        <v>13</v>
      </c>
      <c r="E8" s="54" t="s">
        <v>394</v>
      </c>
      <c r="F8" s="51"/>
      <c r="G8" s="51"/>
      <c r="H8" s="54" t="s">
        <v>395</v>
      </c>
      <c r="I8" s="51"/>
      <c r="J8" s="51"/>
      <c r="K8" s="51"/>
      <c r="L8" s="51"/>
      <c r="M8" s="51"/>
      <c r="N8" s="51"/>
      <c r="O8" s="54" t="s">
        <v>396</v>
      </c>
      <c r="P8" s="51"/>
      <c r="Q8" s="51"/>
      <c r="R8" s="54" t="s">
        <v>397</v>
      </c>
      <c r="S8" s="51"/>
      <c r="T8" s="51"/>
      <c r="U8" s="51"/>
      <c r="V8" s="51"/>
      <c r="W8" s="51"/>
      <c r="X8" s="51"/>
      <c r="Y8" s="51"/>
      <c r="Z8" s="51"/>
      <c r="AA8" s="51"/>
      <c r="AB8" s="51"/>
      <c r="AC8" s="51"/>
      <c r="AD8" s="51"/>
      <c r="AE8" s="51"/>
      <c r="AF8" s="51"/>
      <c r="AG8" s="51"/>
      <c r="AH8" s="51"/>
      <c r="AI8" s="51"/>
      <c r="AJ8" s="51"/>
      <c r="AK8" s="51"/>
      <c r="AL8" s="51"/>
      <c r="AM8" s="51"/>
    </row>
    <row r="9" spans="3:39">
      <c r="D9" s="24" t="s">
        <v>59</v>
      </c>
      <c r="E9" s="55" t="s">
        <v>384</v>
      </c>
      <c r="F9" s="50"/>
      <c r="G9" s="50"/>
      <c r="H9" s="55" t="s">
        <v>239</v>
      </c>
      <c r="I9" s="50" t="s">
        <v>239</v>
      </c>
      <c r="J9" s="50" t="s">
        <v>239</v>
      </c>
      <c r="K9" s="50" t="s">
        <v>240</v>
      </c>
      <c r="L9" s="50" t="s">
        <v>242</v>
      </c>
      <c r="M9" s="50" t="s">
        <v>234</v>
      </c>
      <c r="N9" s="50" t="s">
        <v>56</v>
      </c>
      <c r="O9" s="55" t="s">
        <v>22</v>
      </c>
      <c r="P9" s="50"/>
      <c r="Q9" s="50"/>
      <c r="R9" s="55" t="s">
        <v>398</v>
      </c>
      <c r="S9" s="50"/>
      <c r="T9" s="50"/>
      <c r="U9" s="50" t="s">
        <v>399</v>
      </c>
      <c r="V9" s="50"/>
      <c r="W9" s="50"/>
      <c r="X9" s="86" t="s">
        <v>400</v>
      </c>
      <c r="Y9" s="50"/>
      <c r="Z9" s="75"/>
      <c r="AA9" s="86" t="s">
        <v>401</v>
      </c>
      <c r="AB9" s="50"/>
      <c r="AC9" s="75"/>
      <c r="AD9" s="86" t="s">
        <v>402</v>
      </c>
      <c r="AE9" s="86" t="s">
        <v>403</v>
      </c>
      <c r="AF9" s="50"/>
      <c r="AG9" s="75"/>
      <c r="AH9" s="86" t="s">
        <v>404</v>
      </c>
      <c r="AI9" s="50"/>
      <c r="AJ9" s="75"/>
      <c r="AK9" s="86" t="s">
        <v>405</v>
      </c>
      <c r="AL9" s="50"/>
      <c r="AM9" s="50"/>
    </row>
    <row r="10" spans="3:39">
      <c r="D10" s="24" t="s">
        <v>89</v>
      </c>
      <c r="E10" s="56" t="s">
        <v>19</v>
      </c>
      <c r="F10" s="52" t="s">
        <v>48</v>
      </c>
      <c r="G10" s="52" t="s">
        <v>49</v>
      </c>
      <c r="H10" s="56" t="s">
        <v>268</v>
      </c>
      <c r="I10" s="52" t="s">
        <v>60</v>
      </c>
      <c r="J10" s="52" t="s">
        <v>61</v>
      </c>
      <c r="K10" s="52" t="s">
        <v>406</v>
      </c>
      <c r="L10" s="52" t="s">
        <v>406</v>
      </c>
      <c r="M10" s="52" t="s">
        <v>406</v>
      </c>
      <c r="N10" s="52" t="s">
        <v>406</v>
      </c>
      <c r="O10" s="56" t="s">
        <v>19</v>
      </c>
      <c r="P10" s="52" t="s">
        <v>48</v>
      </c>
      <c r="Q10" s="52" t="s">
        <v>49</v>
      </c>
      <c r="R10" s="56" t="s">
        <v>19</v>
      </c>
      <c r="S10" s="52" t="s">
        <v>48</v>
      </c>
      <c r="T10" s="52" t="s">
        <v>49</v>
      </c>
      <c r="U10" s="56" t="s">
        <v>19</v>
      </c>
      <c r="V10" s="52" t="s">
        <v>48</v>
      </c>
      <c r="W10" s="52" t="s">
        <v>49</v>
      </c>
      <c r="X10" s="81" t="s">
        <v>19</v>
      </c>
      <c r="Y10" s="52" t="s">
        <v>48</v>
      </c>
      <c r="Z10" s="76" t="s">
        <v>49</v>
      </c>
      <c r="AA10" s="81" t="s">
        <v>19</v>
      </c>
      <c r="AB10" s="52" t="s">
        <v>48</v>
      </c>
      <c r="AC10" s="76" t="s">
        <v>49</v>
      </c>
      <c r="AD10" s="81" t="s">
        <v>490</v>
      </c>
      <c r="AE10" s="81" t="s">
        <v>19</v>
      </c>
      <c r="AF10" s="52" t="s">
        <v>48</v>
      </c>
      <c r="AG10" s="76" t="s">
        <v>49</v>
      </c>
      <c r="AH10" s="81" t="s">
        <v>19</v>
      </c>
      <c r="AI10" s="52" t="s">
        <v>48</v>
      </c>
      <c r="AJ10" s="76" t="s">
        <v>49</v>
      </c>
      <c r="AK10" s="81" t="s">
        <v>19</v>
      </c>
      <c r="AL10" s="52" t="s">
        <v>48</v>
      </c>
      <c r="AM10" s="52" t="s">
        <v>49</v>
      </c>
    </row>
    <row r="11" spans="3:39">
      <c r="D11" s="24" t="s">
        <v>138</v>
      </c>
      <c r="E11" s="57" t="s">
        <v>175</v>
      </c>
      <c r="F11" s="53" t="s">
        <v>175</v>
      </c>
      <c r="G11" s="53" t="s">
        <v>175</v>
      </c>
      <c r="H11" s="57" t="s">
        <v>407</v>
      </c>
      <c r="I11" s="53" t="s">
        <v>407</v>
      </c>
      <c r="J11" s="53" t="s">
        <v>407</v>
      </c>
      <c r="K11" s="53" t="s">
        <v>408</v>
      </c>
      <c r="L11" s="53" t="s">
        <v>351</v>
      </c>
      <c r="M11" s="53" t="s">
        <v>409</v>
      </c>
      <c r="N11" s="53" t="s">
        <v>57</v>
      </c>
      <c r="O11" s="57" t="s">
        <v>7</v>
      </c>
      <c r="P11" s="53" t="s">
        <v>7</v>
      </c>
      <c r="Q11" s="53" t="s">
        <v>7</v>
      </c>
      <c r="R11" s="57" t="s">
        <v>81</v>
      </c>
      <c r="S11" s="53" t="s">
        <v>81</v>
      </c>
      <c r="T11" s="53" t="s">
        <v>81</v>
      </c>
      <c r="U11" s="57" t="s">
        <v>81</v>
      </c>
      <c r="V11" s="53" t="s">
        <v>81</v>
      </c>
      <c r="W11" s="53" t="s">
        <v>81</v>
      </c>
      <c r="X11" s="82" t="s">
        <v>81</v>
      </c>
      <c r="Y11" s="53" t="s">
        <v>81</v>
      </c>
      <c r="Z11" s="77" t="s">
        <v>81</v>
      </c>
      <c r="AA11" s="82" t="s">
        <v>81</v>
      </c>
      <c r="AB11" s="53" t="s">
        <v>81</v>
      </c>
      <c r="AC11" s="77" t="s">
        <v>81</v>
      </c>
      <c r="AD11" s="82" t="s">
        <v>81</v>
      </c>
      <c r="AE11" s="82" t="s">
        <v>81</v>
      </c>
      <c r="AF11" s="53" t="s">
        <v>81</v>
      </c>
      <c r="AG11" s="77" t="s">
        <v>81</v>
      </c>
      <c r="AH11" s="82" t="s">
        <v>81</v>
      </c>
      <c r="AI11" s="53" t="s">
        <v>81</v>
      </c>
      <c r="AJ11" s="77" t="s">
        <v>81</v>
      </c>
      <c r="AK11" s="82" t="s">
        <v>81</v>
      </c>
      <c r="AL11" s="53" t="s">
        <v>81</v>
      </c>
      <c r="AM11" s="53" t="s">
        <v>81</v>
      </c>
    </row>
    <row r="12" spans="3:39">
      <c r="C12" s="72" t="s">
        <v>214</v>
      </c>
      <c r="D12" s="72" t="s">
        <v>13</v>
      </c>
      <c r="E12" s="73"/>
      <c r="F12" s="74"/>
      <c r="G12" s="74"/>
      <c r="H12" s="71"/>
      <c r="I12" s="32"/>
      <c r="J12" s="32"/>
      <c r="K12" s="32"/>
      <c r="L12" s="32"/>
      <c r="M12" s="32"/>
      <c r="N12" s="32"/>
      <c r="O12" s="71"/>
      <c r="P12" s="32"/>
      <c r="Q12" s="32"/>
      <c r="R12" s="71"/>
      <c r="S12" s="32"/>
      <c r="T12" s="32"/>
      <c r="U12" s="71"/>
      <c r="V12" s="32"/>
      <c r="W12" s="110"/>
      <c r="X12" s="74"/>
      <c r="Y12" s="74"/>
      <c r="Z12" s="78"/>
      <c r="AA12" s="83"/>
      <c r="AB12" s="74"/>
      <c r="AC12" s="78"/>
      <c r="AD12" s="74"/>
      <c r="AE12" s="74"/>
      <c r="AF12" s="74"/>
      <c r="AG12" s="74"/>
      <c r="AH12" s="83"/>
      <c r="AI12" s="74"/>
      <c r="AJ12" s="78"/>
      <c r="AK12" s="83"/>
      <c r="AL12" s="74"/>
      <c r="AM12" s="74"/>
    </row>
    <row r="13" spans="3:39">
      <c r="C13" t="s">
        <v>21</v>
      </c>
      <c r="D13" t="s">
        <v>410</v>
      </c>
      <c r="E13" s="59">
        <f>INDEX(DeployedCapacities!$D$73:$F$97, MATCH($C13, DeployedCapacities!$C$73:$C$97, 0), MATCH(E$10, DeployedCapacities!$D$71:$F$71, 0))</f>
        <v>0</v>
      </c>
      <c r="F13" s="46">
        <f>INDEX(DeployedCapacities!$D$73:$F$97, MATCH($C13, DeployedCapacities!$C$73:$C$97, 0), MATCH(F$10, DeployedCapacities!$D$71:$F$71, 0))</f>
        <v>0</v>
      </c>
      <c r="G13" s="46">
        <f>INDEX(DeployedCapacities!$D$73:$F$97, MATCH($C13, DeployedCapacities!$C$73:$C$97, 0), MATCH(G$10, DeployedCapacities!$D$71:$F$71, 0))</f>
        <v>0</v>
      </c>
      <c r="H13" s="59">
        <f>SUMIFS(TechAssumptions!$J$16:$J$90, TechAssumptions!$C$16:$C$90, $C13, TechAssumptions!$D$16:$D$90, H$9)*1000</f>
        <v>4114470.754249909</v>
      </c>
      <c r="I13" s="46">
        <f>SUMIFS(TechAssumptions!$K$16:$K$90, TechAssumptions!$C$16:$C$90, $C13, TechAssumptions!$D$16:$D$90, I$9)*1000</f>
        <v>4114470.754249909</v>
      </c>
      <c r="J13" s="46">
        <f>SUMIFS(TechAssumptions!$L$16:$L$90, TechAssumptions!$C$16:$C$90, $C13, TechAssumptions!$D$16:$D$90, J$9)*1000</f>
        <v>4114470.754249909</v>
      </c>
      <c r="K13" s="46">
        <f>(SUMIFS(TechAssumptions!$J$16:$J$90, TechAssumptions!$C$16:$C$90, $C13, TechAssumptions!$D$16:$D$90, K$9))*1000</f>
        <v>108144.77064220185</v>
      </c>
      <c r="L13" s="13">
        <f>SUMIFS(TechAssumptions!$J$16:$J$90, TechAssumptions!$C$16:$C$90, $C13, TechAssumptions!$D$16:$D$90, L$9)</f>
        <v>8.5926605504587155</v>
      </c>
      <c r="M13" s="13">
        <f>INDEX(TechAssumptions!$G$16:$G$90, MATCH(C13, TechAssumptions!$C$16:$C$90, 0))</f>
        <v>25</v>
      </c>
      <c r="N13" s="14">
        <f>INDEX(TechAssumptions!$H$16:$H$90, MATCH(C13, TechAssumptions!$C$16:$C$90, 0))</f>
        <v>7.9000000000000001E-2</v>
      </c>
      <c r="O13" s="58">
        <f>SUMIFS(DispatchVols!$I:$I, DispatchVols!$K:$K, $C13, DispatchVols!$C:$C, O$10)</f>
        <v>12582.45</v>
      </c>
      <c r="P13" s="13">
        <f>SUMIFS(DispatchVols!$I:$I, DispatchVols!$K:$K, $C13, DispatchVols!$C:$C, P$10)</f>
        <v>9525.41</v>
      </c>
      <c r="Q13" s="13">
        <f>SUMIFS(DispatchVols!$I:$I, DispatchVols!$K:$K, $C13, DispatchVols!$C:$C, Q$10)</f>
        <v>4174.84</v>
      </c>
      <c r="R13" s="58">
        <f>(E13*$H13)/10^6</f>
        <v>0</v>
      </c>
      <c r="S13" s="13">
        <f t="shared" ref="S13:S37" si="0">(F13*$H13)/10^6</f>
        <v>0</v>
      </c>
      <c r="T13" s="13">
        <f t="shared" ref="T13:T37" si="1">(G13*$H13)/10^6</f>
        <v>0</v>
      </c>
      <c r="U13" s="58">
        <f>R13/6</f>
        <v>0</v>
      </c>
      <c r="V13" s="13">
        <f t="shared" ref="V13:W13" si="2">S13/6</f>
        <v>0</v>
      </c>
      <c r="W13" s="176">
        <f t="shared" si="2"/>
        <v>0</v>
      </c>
      <c r="X13" s="46">
        <f t="shared" ref="X13:X37" si="3">(-PMT($N13,$M13,E13*$H13))/10^6</f>
        <v>0</v>
      </c>
      <c r="Y13" s="46">
        <f t="shared" ref="Y13:Y37" si="4">(-PMT($N13,$M13,F13*$H13))/10^6</f>
        <v>0</v>
      </c>
      <c r="Z13" s="79">
        <f t="shared" ref="Z13:Z37" si="5">(-PMT($N13,$M13,G13*$H13))/10^6</f>
        <v>0</v>
      </c>
      <c r="AA13" s="84">
        <f>(($K13*E13)/10^6)</f>
        <v>0</v>
      </c>
      <c r="AB13" s="46">
        <f t="shared" ref="AB13:AB37" si="6">($K13*F13)/10^6</f>
        <v>0</v>
      </c>
      <c r="AC13" s="79">
        <f t="shared" ref="AC13:AC37" si="7">($K13*G13)/10^6</f>
        <v>0</v>
      </c>
      <c r="AD13" s="46">
        <f>($K13*INDEX(DeployedCapacities!$D$7:$D$31, MATCH($C13, DeployedCapacities!$C$7:$C$31, 0)))/10^6</f>
        <v>448.64182535229372</v>
      </c>
      <c r="AE13" s="46">
        <f t="shared" ref="AE13:AE37" si="8">AA13+$AD13</f>
        <v>448.64182535229372</v>
      </c>
      <c r="AF13" s="46">
        <f t="shared" ref="AF13:AF37" si="9">AB13+$AD13</f>
        <v>448.64182535229372</v>
      </c>
      <c r="AG13" s="46">
        <f t="shared" ref="AG13:AG37" si="10">AC13+$AD13</f>
        <v>448.64182535229372</v>
      </c>
      <c r="AH13" s="84">
        <f t="shared" ref="AH13:AH37" si="11">(($L13*1000)*O13)/10^6</f>
        <v>108.11672174311927</v>
      </c>
      <c r="AI13" s="46">
        <f t="shared" ref="AI13:AI37" si="12">(($L13*1000)*P13)/10^6</f>
        <v>81.848614733944956</v>
      </c>
      <c r="AJ13" s="79">
        <f t="shared" ref="AJ13:AJ37" si="13">(($L13*1000)*Q13)/10^6</f>
        <v>35.872982972477061</v>
      </c>
      <c r="AK13" s="84">
        <f>X13+AA13+$AD13+AH13</f>
        <v>556.75854709541295</v>
      </c>
      <c r="AL13" s="46">
        <f t="shared" ref="AL13:AL37" si="14">Y13+AB13+$AD13+AI13</f>
        <v>530.49044008623866</v>
      </c>
      <c r="AM13" s="46">
        <f t="shared" ref="AM13:AM37" si="15">Z13+AC13+$AD13+AJ13</f>
        <v>484.5148083247708</v>
      </c>
    </row>
    <row r="14" spans="3:39">
      <c r="C14" t="s">
        <v>24</v>
      </c>
      <c r="D14" t="s">
        <v>411</v>
      </c>
      <c r="E14" s="59">
        <f>INDEX(DeployedCapacities!$D$73:$F$97, MATCH($C14, DeployedCapacities!$C$73:$C$97, 0), MATCH(E$10, DeployedCapacities!$D$71:$F$71, 0))</f>
        <v>1670</v>
      </c>
      <c r="F14" s="46">
        <f>INDEX(DeployedCapacities!$D$73:$F$97, MATCH($C14, DeployedCapacities!$C$73:$C$97, 0), MATCH(F$10, DeployedCapacities!$D$71:$F$71, 0))</f>
        <v>1670</v>
      </c>
      <c r="G14" s="46">
        <f>INDEX(DeployedCapacities!$D$73:$F$97, MATCH($C14, DeployedCapacities!$C$73:$C$97, 0), MATCH(G$10, DeployedCapacities!$D$71:$F$71, 0))</f>
        <v>1670</v>
      </c>
      <c r="H14" s="59">
        <f>SUMIFS(TechAssumptions!$J$16:$J$90, TechAssumptions!$C$16:$C$90, $C14, TechAssumptions!$D$16:$D$90, H$9)*1000</f>
        <v>5870285.5831037639</v>
      </c>
      <c r="I14" s="46">
        <f>SUMIFS(TechAssumptions!$K$16:$K$90, TechAssumptions!$C$16:$C$90, $C14, TechAssumptions!$D$16:$D$90, I$9)*1000</f>
        <v>5870285.5831037639</v>
      </c>
      <c r="J14" s="46">
        <f>SUMIFS(TechAssumptions!$L$16:$L$90, TechAssumptions!$C$16:$C$90, $C14, TechAssumptions!$D$16:$D$90, J$9)*1000</f>
        <v>5870285.5831037639</v>
      </c>
      <c r="K14" s="46">
        <f>(SUMIFS(TechAssumptions!$J$16:$J$90, TechAssumptions!$C$16:$C$90, $C14, TechAssumptions!$D$16:$D$90, K$9))*1000</f>
        <v>98527.164489080169</v>
      </c>
      <c r="L14" s="13">
        <f>SUMIFS(TechAssumptions!$J$16:$J$90, TechAssumptions!$C$16:$C$90, $C14, TechAssumptions!$D$16:$D$90, L$9)</f>
        <v>6.7575757575757578</v>
      </c>
      <c r="M14" s="13">
        <f>INDEX(TechAssumptions!$G$16:$G$90, MATCH(C14, TechAssumptions!$C$16:$C$90, 0))</f>
        <v>60</v>
      </c>
      <c r="N14" s="14">
        <f>INDEX(TechAssumptions!$H$16:$H$90, MATCH(C14, TechAssumptions!$C$16:$C$90, 0))</f>
        <v>0.1</v>
      </c>
      <c r="O14" s="58">
        <f>SUMIFS(DispatchVols!$I:$I, DispatchVols!$K:$K, $C14, DispatchVols!$C:$C, O$10)</f>
        <v>25892.23</v>
      </c>
      <c r="P14" s="13">
        <f>SUMIFS(DispatchVols!$I:$I, DispatchVols!$K:$K, $C14, DispatchVols!$C:$C, P$10)</f>
        <v>30653.98</v>
      </c>
      <c r="Q14" s="13">
        <f>SUMIFS(DispatchVols!$I:$I, DispatchVols!$K:$K, $C14, DispatchVols!$C:$C, Q$10)</f>
        <v>26656.23</v>
      </c>
      <c r="R14" s="58">
        <f t="shared" ref="R14:R37" si="16">(E14*$H14)/10^6</f>
        <v>9803.3769237832857</v>
      </c>
      <c r="S14" s="13">
        <f t="shared" si="0"/>
        <v>9803.3769237832857</v>
      </c>
      <c r="T14" s="13">
        <f t="shared" si="1"/>
        <v>9803.3769237832857</v>
      </c>
      <c r="U14" s="58">
        <f t="shared" ref="U14:U38" si="17">R14/6</f>
        <v>1633.896153963881</v>
      </c>
      <c r="V14" s="13">
        <f t="shared" ref="V14:V38" si="18">S14/6</f>
        <v>1633.896153963881</v>
      </c>
      <c r="W14" s="176">
        <f t="shared" ref="W14:W38" si="19">T14/6</f>
        <v>1633.896153963881</v>
      </c>
      <c r="X14" s="46">
        <f t="shared" si="3"/>
        <v>983.56799551580889</v>
      </c>
      <c r="Y14" s="46">
        <f t="shared" si="4"/>
        <v>983.56799551580889</v>
      </c>
      <c r="Z14" s="79">
        <f t="shared" si="5"/>
        <v>983.56799551580889</v>
      </c>
      <c r="AA14" s="84">
        <f t="shared" ref="AA14:AA37" si="20">($K14*E14)/10^6</f>
        <v>164.54036469676387</v>
      </c>
      <c r="AB14" s="46">
        <f t="shared" si="6"/>
        <v>164.54036469676387</v>
      </c>
      <c r="AC14" s="79">
        <f>($K14*G14)/10^6</f>
        <v>164.54036469676387</v>
      </c>
      <c r="AD14" s="46">
        <f>($K14*INDEX(DeployedCapacities!$D$7:$D$31, MATCH($C14, DeployedCapacities!$C$7:$C$31, 0)))/10^6</f>
        <v>598.55252427116204</v>
      </c>
      <c r="AE14" s="46">
        <f t="shared" si="8"/>
        <v>763.09288896792589</v>
      </c>
      <c r="AF14" s="46">
        <f t="shared" si="9"/>
        <v>763.09288896792589</v>
      </c>
      <c r="AG14" s="46">
        <f t="shared" si="10"/>
        <v>763.09288896792589</v>
      </c>
      <c r="AH14" s="84">
        <f t="shared" si="11"/>
        <v>174.96870575757575</v>
      </c>
      <c r="AI14" s="46">
        <f t="shared" si="12"/>
        <v>207.14659212121214</v>
      </c>
      <c r="AJ14" s="79">
        <f t="shared" si="13"/>
        <v>180.13149363636364</v>
      </c>
      <c r="AK14" s="84">
        <f t="shared" ref="AK14:AK37" si="21">X14+AA14+$AD14+AH14</f>
        <v>1921.6295902413103</v>
      </c>
      <c r="AL14" s="46">
        <f t="shared" si="14"/>
        <v>1953.8074766049467</v>
      </c>
      <c r="AM14" s="46">
        <f t="shared" si="15"/>
        <v>1926.7923781200984</v>
      </c>
    </row>
    <row r="15" spans="3:39">
      <c r="C15" t="s">
        <v>25</v>
      </c>
      <c r="D15" t="s">
        <v>412</v>
      </c>
      <c r="E15" s="59">
        <f>INDEX(DeployedCapacities!$D$73:$F$97, MATCH($C15, DeployedCapacities!$C$73:$C$97, 0), MATCH(E$10, DeployedCapacities!$D$71:$F$71, 0))</f>
        <v>32217.750000000004</v>
      </c>
      <c r="F15" s="46">
        <f>INDEX(DeployedCapacities!$D$73:$F$97, MATCH($C15, DeployedCapacities!$C$73:$C$97, 0), MATCH(F$10, DeployedCapacities!$D$71:$F$71, 0))</f>
        <v>32215.750000000004</v>
      </c>
      <c r="G15" s="46">
        <f>INDEX(DeployedCapacities!$D$73:$F$97, MATCH($C15, DeployedCapacities!$C$73:$C$97, 0), MATCH(G$10, DeployedCapacities!$D$71:$F$71, 0))</f>
        <v>6828.3000000000029</v>
      </c>
      <c r="H15" s="59">
        <f>SUMIFS(TechAssumptions!$J$16:$J$90, TechAssumptions!$C$16:$C$90, $C15, TechAssumptions!$D$16:$D$90, H$9)*1000</f>
        <v>662862.38532110082</v>
      </c>
      <c r="I15" s="46">
        <f>SUMIFS(TechAssumptions!$K$16:$K$90, TechAssumptions!$C$16:$C$90, $C15, TechAssumptions!$D$16:$D$90, I$9)*1000</f>
        <v>529015.17290049396</v>
      </c>
      <c r="J15" s="46">
        <f>SUMIFS(TechAssumptions!$L$16:$L$90, TechAssumptions!$C$16:$C$90, $C15, TechAssumptions!$D$16:$D$90, J$9)*1000</f>
        <v>669236.06210303458</v>
      </c>
      <c r="K15" s="46">
        <f>(SUMIFS(TechAssumptions!$J$16:$J$90, TechAssumptions!$C$16:$C$90, $C15, TechAssumptions!$D$16:$D$90, K$9))*1000</f>
        <v>9820.1834862385331</v>
      </c>
      <c r="L15" s="13">
        <f>SUMIFS(TechAssumptions!$J$16:$J$90, TechAssumptions!$C$16:$C$90, $C15, TechAssumptions!$D$16:$D$90, L$9)</f>
        <v>0</v>
      </c>
      <c r="M15" s="13">
        <f>INDEX(TechAssumptions!$G$16:$G$90, MATCH(C15, TechAssumptions!$C$16:$C$90, 0))</f>
        <v>35</v>
      </c>
      <c r="N15" s="14">
        <f>INDEX(TechAssumptions!$H$16:$H$90, MATCH(C15, TechAssumptions!$C$16:$C$90, 0))</f>
        <v>0.05</v>
      </c>
      <c r="O15" s="58">
        <f>SUMIFS(DispatchVols!$I:$I, DispatchVols!$K:$K, $C15, DispatchVols!$C:$C, O$10)</f>
        <v>44138.58</v>
      </c>
      <c r="P15" s="13">
        <f>SUMIFS(DispatchVols!$I:$I, DispatchVols!$K:$K, $C15, DispatchVols!$C:$C, P$10)</f>
        <v>44790.28</v>
      </c>
      <c r="Q15" s="13">
        <f>SUMIFS(DispatchVols!$I:$I, DispatchVols!$K:$K, $C15, DispatchVols!$C:$C, Q$10)</f>
        <v>22803.3</v>
      </c>
      <c r="R15" s="58">
        <f t="shared" si="16"/>
        <v>21355.934614678899</v>
      </c>
      <c r="S15" s="13">
        <f t="shared" si="0"/>
        <v>21354.608889908257</v>
      </c>
      <c r="T15" s="13">
        <f t="shared" si="1"/>
        <v>4526.2232256880752</v>
      </c>
      <c r="U15" s="58">
        <f t="shared" si="17"/>
        <v>3559.3224357798167</v>
      </c>
      <c r="V15" s="13">
        <f t="shared" si="18"/>
        <v>3559.1014816513762</v>
      </c>
      <c r="W15" s="176">
        <f t="shared" si="19"/>
        <v>754.37053761467917</v>
      </c>
      <c r="X15" s="46">
        <f t="shared" si="3"/>
        <v>1304.2433864288412</v>
      </c>
      <c r="Y15" s="46">
        <f t="shared" si="4"/>
        <v>1304.16242215378</v>
      </c>
      <c r="Z15" s="79">
        <f t="shared" si="5"/>
        <v>276.42417970069482</v>
      </c>
      <c r="AA15" s="84">
        <f t="shared" si="20"/>
        <v>316.38421651376154</v>
      </c>
      <c r="AB15" s="46">
        <f t="shared" si="6"/>
        <v>316.36457614678909</v>
      </c>
      <c r="AC15" s="79">
        <f t="shared" si="7"/>
        <v>67.055158899082599</v>
      </c>
      <c r="AD15" s="46">
        <f>($K15*INDEX(DeployedCapacities!$D$7:$D$31, MATCH($C15, DeployedCapacities!$C$7:$C$31, 0)))/10^6</f>
        <v>148.64075229357798</v>
      </c>
      <c r="AE15" s="46">
        <f t="shared" si="8"/>
        <v>465.02496880733952</v>
      </c>
      <c r="AF15" s="46">
        <f t="shared" si="9"/>
        <v>465.00532844036707</v>
      </c>
      <c r="AG15" s="46">
        <f t="shared" si="10"/>
        <v>215.69591119266056</v>
      </c>
      <c r="AH15" s="84">
        <f t="shared" si="11"/>
        <v>0</v>
      </c>
      <c r="AI15" s="46">
        <f t="shared" si="12"/>
        <v>0</v>
      </c>
      <c r="AJ15" s="79">
        <f t="shared" si="13"/>
        <v>0</v>
      </c>
      <c r="AK15" s="84">
        <f t="shared" si="21"/>
        <v>1769.2683552361805</v>
      </c>
      <c r="AL15" s="46">
        <f t="shared" si="14"/>
        <v>1769.167750594147</v>
      </c>
      <c r="AM15" s="46">
        <f t="shared" si="15"/>
        <v>492.12009089335538</v>
      </c>
    </row>
    <row r="16" spans="3:39">
      <c r="C16" t="s">
        <v>26</v>
      </c>
      <c r="D16" t="s">
        <v>413</v>
      </c>
      <c r="E16" s="59">
        <f>INDEX(DeployedCapacities!$D$73:$F$97, MATCH($C16, DeployedCapacities!$C$73:$C$97, 0), MATCH(E$10, DeployedCapacities!$D$71:$F$71, 0))</f>
        <v>262.40999999999985</v>
      </c>
      <c r="F16" s="46">
        <f>INDEX(DeployedCapacities!$D$73:$F$97, MATCH($C16, DeployedCapacities!$C$73:$C$97, 0), MATCH(F$10, DeployedCapacities!$D$71:$F$71, 0))</f>
        <v>262.40999999999985</v>
      </c>
      <c r="G16" s="46">
        <f>INDEX(DeployedCapacities!$D$73:$F$97, MATCH($C16, DeployedCapacities!$C$73:$C$97, 0), MATCH(G$10, DeployedCapacities!$D$71:$F$71, 0))</f>
        <v>430.62999999999965</v>
      </c>
      <c r="H16" s="59">
        <f>SUMIFS(TechAssumptions!$J$16:$J$90, TechAssumptions!$C$16:$C$90, $C16, TechAssumptions!$D$16:$D$90, H$9)*1000</f>
        <v>11828007.395401591</v>
      </c>
      <c r="I16" s="46">
        <f>SUMIFS(TechAssumptions!$K$16:$K$90, TechAssumptions!$C$16:$C$90, $C16, TechAssumptions!$D$16:$D$90, I$9)*1000</f>
        <v>11828007.395401591</v>
      </c>
      <c r="J16" s="46">
        <f>SUMIFS(TechAssumptions!$L$16:$L$90, TechAssumptions!$C$16:$C$90, $C16, TechAssumptions!$D$16:$D$90, J$9)*1000</f>
        <v>11828007.395401591</v>
      </c>
      <c r="K16" s="46">
        <f>(SUMIFS(TechAssumptions!$J$16:$J$90, TechAssumptions!$C$16:$C$90, $C16, TechAssumptions!$D$16:$D$90, K$9))*1000</f>
        <v>228564.77064220185</v>
      </c>
      <c r="L16" s="13">
        <f>SUMIFS(TechAssumptions!$J$16:$J$90, TechAssumptions!$C$16:$C$90, $C16, TechAssumptions!$D$16:$D$90, L$9)</f>
        <v>33.143119266055045</v>
      </c>
      <c r="M16" s="13">
        <f>INDEX(TechAssumptions!$G$16:$G$90, MATCH(C16, TechAssumptions!$C$16:$C$90, 0))</f>
        <v>35</v>
      </c>
      <c r="N16" s="14">
        <f>INDEX(TechAssumptions!$H$16:$H$90, MATCH(C16, TechAssumptions!$C$16:$C$90, 0))</f>
        <v>6.5000000000000002E-2</v>
      </c>
      <c r="O16" s="58">
        <f>SUMIFS(DispatchVols!$I:$I, DispatchVols!$K:$K, $C16, DispatchVols!$C:$C, O$10)</f>
        <v>7897.5</v>
      </c>
      <c r="P16" s="13">
        <f>SUMIFS(DispatchVols!$I:$I, DispatchVols!$K:$K, $C16, DispatchVols!$C:$C, P$10)</f>
        <v>7866.97</v>
      </c>
      <c r="Q16" s="13">
        <f>SUMIFS(DispatchVols!$I:$I, DispatchVols!$K:$K, $C16, DispatchVols!$C:$C, Q$10)</f>
        <v>11897.27</v>
      </c>
      <c r="R16" s="58">
        <f t="shared" si="16"/>
        <v>3103.78742062733</v>
      </c>
      <c r="S16" s="13">
        <f t="shared" si="0"/>
        <v>3103.78742062733</v>
      </c>
      <c r="T16" s="13">
        <f t="shared" si="1"/>
        <v>5093.4948246817839</v>
      </c>
      <c r="U16" s="58">
        <f t="shared" si="17"/>
        <v>517.29790343788829</v>
      </c>
      <c r="V16" s="13">
        <f t="shared" si="18"/>
        <v>517.29790343788829</v>
      </c>
      <c r="W16" s="176">
        <f t="shared" si="19"/>
        <v>848.91580411363066</v>
      </c>
      <c r="X16" s="46">
        <f t="shared" si="3"/>
        <v>226.76972546495986</v>
      </c>
      <c r="Y16" s="46">
        <f t="shared" si="4"/>
        <v>226.76972546495986</v>
      </c>
      <c r="Z16" s="79">
        <f t="shared" si="5"/>
        <v>372.14224639676706</v>
      </c>
      <c r="AA16" s="84">
        <f t="shared" si="20"/>
        <v>59.977681464220154</v>
      </c>
      <c r="AB16" s="46">
        <f t="shared" si="6"/>
        <v>59.977681464220154</v>
      </c>
      <c r="AC16" s="79">
        <f t="shared" si="7"/>
        <v>98.426847181651311</v>
      </c>
      <c r="AD16" s="46">
        <f>($K16*INDEX(DeployedCapacities!$D$7:$D$31, MATCH($C16, DeployedCapacities!$C$7:$C$31, 0)))/10^6</f>
        <v>367.10930636697253</v>
      </c>
      <c r="AE16" s="46">
        <f t="shared" si="8"/>
        <v>427.08698783119269</v>
      </c>
      <c r="AF16" s="46">
        <f t="shared" si="9"/>
        <v>427.08698783119269</v>
      </c>
      <c r="AG16" s="46">
        <f t="shared" si="10"/>
        <v>465.53615354862382</v>
      </c>
      <c r="AH16" s="84">
        <f t="shared" si="11"/>
        <v>261.7477844036697</v>
      </c>
      <c r="AI16" s="46">
        <f t="shared" si="12"/>
        <v>260.73592497247705</v>
      </c>
      <c r="AJ16" s="79">
        <f t="shared" si="13"/>
        <v>394.31263855045876</v>
      </c>
      <c r="AK16" s="84">
        <f t="shared" si="21"/>
        <v>915.60449769982222</v>
      </c>
      <c r="AL16" s="46">
        <f t="shared" si="14"/>
        <v>914.59263826862957</v>
      </c>
      <c r="AM16" s="46">
        <f t="shared" si="15"/>
        <v>1231.9910384958496</v>
      </c>
    </row>
    <row r="17" spans="3:39">
      <c r="C17" t="s">
        <v>216</v>
      </c>
      <c r="D17" t="s">
        <v>413</v>
      </c>
      <c r="E17" s="59">
        <f>INDEX(DeployedCapacities!$D$73:$F$97, MATCH($C17, DeployedCapacities!$C$73:$C$97, 0), MATCH(E$10, DeployedCapacities!$D$71:$F$71, 0))</f>
        <v>612.53</v>
      </c>
      <c r="F17" s="46">
        <f>INDEX(DeployedCapacities!$D$73:$F$97, MATCH($C17, DeployedCapacities!$C$73:$C$97, 0), MATCH(F$10, DeployedCapacities!$D$71:$F$71, 0))</f>
        <v>612.53</v>
      </c>
      <c r="G17" s="46">
        <f>INDEX(DeployedCapacities!$D$73:$F$97, MATCH($C17, DeployedCapacities!$C$73:$C$97, 0), MATCH(G$10, DeployedCapacities!$D$71:$F$71, 0))</f>
        <v>0</v>
      </c>
      <c r="H17" s="59">
        <f>SUMIFS(TechAssumptions!$J$16:$J$90, TechAssumptions!$C$16:$C$90, $C17, TechAssumptions!$D$16:$D$90, H$9)*1000</f>
        <v>16046179.81651376</v>
      </c>
      <c r="I17" s="46">
        <f>SUMIFS(TechAssumptions!$K$16:$K$90, TechAssumptions!$C$16:$C$90, $C17, TechAssumptions!$D$16:$D$90, I$9)*1000</f>
        <v>9244658.7904275842</v>
      </c>
      <c r="J17" s="46">
        <f>SUMIFS(TechAssumptions!$L$16:$L$90, TechAssumptions!$C$16:$C$90, $C17, TechAssumptions!$D$16:$D$90, J$9)*1000</f>
        <v>19553827.606746785</v>
      </c>
      <c r="K17" s="46">
        <f>(SUMIFS(TechAssumptions!$J$16:$J$90, TechAssumptions!$C$16:$C$90, $C17, TechAssumptions!$D$16:$D$90, K$9))*1000</f>
        <v>228564.77064220185</v>
      </c>
      <c r="L17" s="13">
        <f>SUMIFS(TechAssumptions!$J$16:$J$90, TechAssumptions!$C$16:$C$90, $C17, TechAssumptions!$D$16:$D$90, L$9)</f>
        <v>74.878899082568807</v>
      </c>
      <c r="M17" s="13">
        <f>INDEX(TechAssumptions!$G$16:$G$90, MATCH(C17, TechAssumptions!$C$16:$C$90, 0))</f>
        <v>27</v>
      </c>
      <c r="N17" s="14">
        <f>INDEX(TechAssumptions!$H$16:$H$90, MATCH(C17, TechAssumptions!$C$16:$C$90, 0))</f>
        <v>6.5000000000000002E-2</v>
      </c>
      <c r="O17" s="58">
        <f>SUMIFS(DispatchVols!$I:$I, DispatchVols!$K:$K, $C17, DispatchVols!$C:$C, O$10)</f>
        <v>0</v>
      </c>
      <c r="P17" s="13">
        <f>SUMIFS(DispatchVols!$I:$I, DispatchVols!$K:$K, $C17, DispatchVols!$C:$C, P$10)</f>
        <v>0</v>
      </c>
      <c r="Q17" s="13">
        <f>SUMIFS(DispatchVols!$I:$I, DispatchVols!$K:$K, $C17, DispatchVols!$C:$C, Q$10)</f>
        <v>0</v>
      </c>
      <c r="R17" s="58">
        <f t="shared" si="16"/>
        <v>9828.7665230091716</v>
      </c>
      <c r="S17" s="13">
        <f t="shared" si="0"/>
        <v>9828.7665230091716</v>
      </c>
      <c r="T17" s="13">
        <f t="shared" si="1"/>
        <v>0</v>
      </c>
      <c r="U17" s="58">
        <f t="shared" si="17"/>
        <v>1638.127753834862</v>
      </c>
      <c r="V17" s="13">
        <f t="shared" si="18"/>
        <v>1638.127753834862</v>
      </c>
      <c r="W17" s="176">
        <f t="shared" si="19"/>
        <v>0</v>
      </c>
      <c r="X17" s="46">
        <f t="shared" si="3"/>
        <v>781.61179714717855</v>
      </c>
      <c r="Y17" s="46">
        <f t="shared" si="4"/>
        <v>781.61179714717855</v>
      </c>
      <c r="Z17" s="79">
        <f t="shared" si="5"/>
        <v>0</v>
      </c>
      <c r="AA17" s="84">
        <f t="shared" si="20"/>
        <v>140.0027789614679</v>
      </c>
      <c r="AB17" s="46">
        <f t="shared" si="6"/>
        <v>140.0027789614679</v>
      </c>
      <c r="AC17" s="79">
        <f t="shared" si="7"/>
        <v>0</v>
      </c>
      <c r="AD17" s="46">
        <f>($K17*INDEX(DeployedCapacities!$D$7:$D$31, MATCH($C17, DeployedCapacities!$C$7:$C$31, 0)))/10^6</f>
        <v>0</v>
      </c>
      <c r="AE17" s="46">
        <f t="shared" si="8"/>
        <v>140.0027789614679</v>
      </c>
      <c r="AF17" s="46">
        <f t="shared" si="9"/>
        <v>140.0027789614679</v>
      </c>
      <c r="AG17" s="46">
        <f t="shared" si="10"/>
        <v>0</v>
      </c>
      <c r="AH17" s="84">
        <f t="shared" si="11"/>
        <v>0</v>
      </c>
      <c r="AI17" s="46">
        <f t="shared" si="12"/>
        <v>0</v>
      </c>
      <c r="AJ17" s="79">
        <f t="shared" si="13"/>
        <v>0</v>
      </c>
      <c r="AK17" s="84">
        <f t="shared" si="21"/>
        <v>921.61457610864647</v>
      </c>
      <c r="AL17" s="46">
        <f t="shared" si="14"/>
        <v>921.61457610864647</v>
      </c>
      <c r="AM17" s="46">
        <f t="shared" si="15"/>
        <v>0</v>
      </c>
    </row>
    <row r="18" spans="3:39">
      <c r="C18" t="s">
        <v>209</v>
      </c>
      <c r="D18" t="s">
        <v>410</v>
      </c>
      <c r="E18" s="59">
        <f>INDEX(DeployedCapacities!$D$73:$F$97, MATCH($C18, DeployedCapacities!$C$73:$C$97, 0), MATCH(E$10, DeployedCapacities!$D$71:$F$71, 0))</f>
        <v>1447.86</v>
      </c>
      <c r="F18" s="46">
        <f>INDEX(DeployedCapacities!$D$73:$F$97, MATCH($C18, DeployedCapacities!$C$73:$C$97, 0), MATCH(F$10, DeployedCapacities!$D$71:$F$71, 0))</f>
        <v>1447.86</v>
      </c>
      <c r="G18" s="46">
        <f>INDEX(DeployedCapacities!$D$73:$F$97, MATCH($C18, DeployedCapacities!$C$73:$C$97, 0), MATCH(G$10, DeployedCapacities!$D$71:$F$71, 0))</f>
        <v>1921.6833220999999</v>
      </c>
      <c r="H18" s="59">
        <f>SUMIFS(TechAssumptions!$J$16:$J$90, TechAssumptions!$C$16:$C$90, $C18, TechAssumptions!$D$16:$D$90, H$9)*1000</f>
        <v>1181198.5583224115</v>
      </c>
      <c r="I18" s="46">
        <f>SUMIFS(TechAssumptions!$K$16:$K$90, TechAssumptions!$C$16:$C$90, $C18, TechAssumptions!$D$16:$D$90, I$9)*1000</f>
        <v>1181198.5583224115</v>
      </c>
      <c r="J18" s="46">
        <f>SUMIFS(TechAssumptions!$L$16:$L$90, TechAssumptions!$C$16:$C$90, $C18, TechAssumptions!$D$16:$D$90, J$9)*1000</f>
        <v>1181198.5583224115</v>
      </c>
      <c r="K18" s="46">
        <f>(SUMIFS(TechAssumptions!$J$16:$J$90, TechAssumptions!$C$16:$C$90, $C18, TechAssumptions!$D$16:$D$90, K$9))*1000</f>
        <v>43699.816513761463</v>
      </c>
      <c r="L18" s="13">
        <f>SUMIFS(TechAssumptions!$J$16:$J$90, TechAssumptions!$C$16:$C$90, $C18, TechAssumptions!$D$16:$D$90, L$9)</f>
        <v>4.9100917431192661</v>
      </c>
      <c r="M18" s="13">
        <f>INDEX(TechAssumptions!$G$16:$G$90, MATCH(C18, TechAssumptions!$C$16:$C$90, 0))</f>
        <v>25</v>
      </c>
      <c r="N18" s="14">
        <f>INDEX(TechAssumptions!$H$16:$H$90, MATCH(C18, TechAssumptions!$C$16:$C$90, 0))</f>
        <v>0.09</v>
      </c>
      <c r="O18" s="58">
        <f>SUMIFS(DispatchVols!$I:$I, DispatchVols!$K:$K, $C18, DispatchVols!$C:$C, O$10)</f>
        <v>0</v>
      </c>
      <c r="P18" s="13">
        <f>SUMIFS(DispatchVols!$I:$I, DispatchVols!$K:$K, $C18, DispatchVols!$C:$C, P$10)</f>
        <v>0</v>
      </c>
      <c r="Q18" s="13">
        <f>SUMIFS(DispatchVols!$I:$I, DispatchVols!$K:$K, $C18, DispatchVols!$C:$C, Q$10)</f>
        <v>0</v>
      </c>
      <c r="R18" s="58">
        <f t="shared" si="16"/>
        <v>1710.2101446526865</v>
      </c>
      <c r="S18" s="13">
        <f t="shared" si="0"/>
        <v>1710.2101446526865</v>
      </c>
      <c r="T18" s="13">
        <f t="shared" si="1"/>
        <v>2269.8895696167419</v>
      </c>
      <c r="U18" s="58">
        <f t="shared" si="17"/>
        <v>285.0350241087811</v>
      </c>
      <c r="V18" s="13">
        <f t="shared" si="18"/>
        <v>285.0350241087811</v>
      </c>
      <c r="W18" s="176">
        <f t="shared" si="19"/>
        <v>378.31492826945697</v>
      </c>
      <c r="X18" s="46">
        <f t="shared" si="3"/>
        <v>174.11008242591438</v>
      </c>
      <c r="Y18" s="46">
        <f t="shared" si="4"/>
        <v>174.11008242591438</v>
      </c>
      <c r="Z18" s="79">
        <f t="shared" si="5"/>
        <v>231.08894617389521</v>
      </c>
      <c r="AA18" s="84">
        <f t="shared" si="20"/>
        <v>63.271216337614668</v>
      </c>
      <c r="AB18" s="46">
        <f t="shared" si="6"/>
        <v>63.271216337614668</v>
      </c>
      <c r="AC18" s="79">
        <f t="shared" si="7"/>
        <v>83.977208573325555</v>
      </c>
      <c r="AD18" s="46">
        <f>($K18*INDEX(DeployedCapacities!$D$7:$D$31, MATCH($C18, DeployedCapacities!$C$7:$C$31, 0)))/10^6</f>
        <v>0</v>
      </c>
      <c r="AE18" s="46">
        <f t="shared" si="8"/>
        <v>63.271216337614668</v>
      </c>
      <c r="AF18" s="46">
        <f t="shared" si="9"/>
        <v>63.271216337614668</v>
      </c>
      <c r="AG18" s="46">
        <f t="shared" si="10"/>
        <v>83.977208573325555</v>
      </c>
      <c r="AH18" s="84">
        <f t="shared" si="11"/>
        <v>0</v>
      </c>
      <c r="AI18" s="46">
        <f t="shared" si="12"/>
        <v>0</v>
      </c>
      <c r="AJ18" s="79">
        <f t="shared" si="13"/>
        <v>0</v>
      </c>
      <c r="AK18" s="84">
        <f t="shared" si="21"/>
        <v>237.38129876352906</v>
      </c>
      <c r="AL18" s="46">
        <f t="shared" si="14"/>
        <v>237.38129876352906</v>
      </c>
      <c r="AM18" s="46">
        <f t="shared" si="15"/>
        <v>315.06615474722076</v>
      </c>
    </row>
    <row r="19" spans="3:39">
      <c r="C19" t="s">
        <v>210</v>
      </c>
      <c r="D19" t="s">
        <v>413</v>
      </c>
      <c r="E19" s="59">
        <f>INDEX(DeployedCapacities!$D$73:$F$97, MATCH($C19, DeployedCapacities!$C$73:$C$97, 0), MATCH(E$10, DeployedCapacities!$D$71:$F$71, 0))</f>
        <v>146.47</v>
      </c>
      <c r="F19" s="46">
        <f>INDEX(DeployedCapacities!$D$73:$F$97, MATCH($C19, DeployedCapacities!$C$73:$C$97, 0), MATCH(F$10, DeployedCapacities!$D$71:$F$71, 0))</f>
        <v>146.47</v>
      </c>
      <c r="G19" s="46">
        <f>INDEX(DeployedCapacities!$D$73:$F$97, MATCH($C19, DeployedCapacities!$C$73:$C$97, 0), MATCH(G$10, DeployedCapacities!$D$71:$F$71, 0))</f>
        <v>0</v>
      </c>
      <c r="H19" s="59">
        <f>SUMIFS(TechAssumptions!$J$16:$J$90, TechAssumptions!$C$16:$C$90, $C19, TechAssumptions!$D$16:$D$90, H$9)*1000</f>
        <v>892102.29357798165</v>
      </c>
      <c r="I19" s="46">
        <f>SUMIFS(TechAssumptions!$K$16:$K$90, TechAssumptions!$C$16:$C$90, $C19, TechAssumptions!$D$16:$D$90, I$9)*1000</f>
        <v>892102.29357798165</v>
      </c>
      <c r="J19" s="46">
        <f>SUMIFS(TechAssumptions!$L$16:$L$90, TechAssumptions!$C$16:$C$90, $C19, TechAssumptions!$D$16:$D$90, J$9)*1000</f>
        <v>892102.29357798165</v>
      </c>
      <c r="K19" s="46">
        <f>(SUMIFS(TechAssumptions!$J$16:$J$90, TechAssumptions!$C$16:$C$90, $C19, TechAssumptions!$D$16:$D$90, K$9))*1000</f>
        <v>22463.669724770643</v>
      </c>
      <c r="L19" s="13">
        <f>SUMIFS(TechAssumptions!$J$16:$J$90, TechAssumptions!$C$16:$C$90, $C19, TechAssumptions!$D$16:$D$90, L$9)</f>
        <v>2.4550458715596331</v>
      </c>
      <c r="M19" s="13">
        <f>INDEX(TechAssumptions!$G$16:$G$90, MATCH(C19, TechAssumptions!$C$16:$C$90, 0))</f>
        <v>25</v>
      </c>
      <c r="N19" s="14">
        <f>INDEX(TechAssumptions!$H$16:$H$90, MATCH(C19, TechAssumptions!$C$16:$C$90, 0))</f>
        <v>0.09</v>
      </c>
      <c r="O19" s="58">
        <f>SUMIFS(DispatchVols!$I:$I, DispatchVols!$K:$K, $C19, DispatchVols!$C:$C, O$10)</f>
        <v>0</v>
      </c>
      <c r="P19" s="13">
        <f>SUMIFS(DispatchVols!$I:$I, DispatchVols!$K:$K, $C19, DispatchVols!$C:$C, P$10)</f>
        <v>0</v>
      </c>
      <c r="Q19" s="13">
        <f>SUMIFS(DispatchVols!$I:$I, DispatchVols!$K:$K, $C19, DispatchVols!$C:$C, Q$10)</f>
        <v>0</v>
      </c>
      <c r="R19" s="58">
        <f t="shared" si="16"/>
        <v>130.66622294036696</v>
      </c>
      <c r="S19" s="13">
        <f t="shared" si="0"/>
        <v>130.66622294036696</v>
      </c>
      <c r="T19" s="13">
        <f t="shared" si="1"/>
        <v>0</v>
      </c>
      <c r="U19" s="58">
        <f t="shared" si="17"/>
        <v>21.777703823394493</v>
      </c>
      <c r="V19" s="13">
        <f t="shared" si="18"/>
        <v>21.777703823394493</v>
      </c>
      <c r="W19" s="176">
        <f t="shared" si="19"/>
        <v>0</v>
      </c>
      <c r="X19" s="46">
        <f t="shared" si="3"/>
        <v>13.302638226982559</v>
      </c>
      <c r="Y19" s="46">
        <f t="shared" si="4"/>
        <v>13.302638226982559</v>
      </c>
      <c r="Z19" s="79">
        <f t="shared" si="5"/>
        <v>0</v>
      </c>
      <c r="AA19" s="84">
        <f t="shared" si="20"/>
        <v>3.290253704587156</v>
      </c>
      <c r="AB19" s="46">
        <f t="shared" si="6"/>
        <v>3.290253704587156</v>
      </c>
      <c r="AC19" s="79">
        <f t="shared" si="7"/>
        <v>0</v>
      </c>
      <c r="AD19" s="46">
        <f>($K19*INDEX(DeployedCapacities!$D$7:$D$31, MATCH($C19, DeployedCapacities!$C$7:$C$31, 0)))/10^6</f>
        <v>0</v>
      </c>
      <c r="AE19" s="46">
        <f t="shared" si="8"/>
        <v>3.290253704587156</v>
      </c>
      <c r="AF19" s="46">
        <f t="shared" si="9"/>
        <v>3.290253704587156</v>
      </c>
      <c r="AG19" s="46">
        <f t="shared" si="10"/>
        <v>0</v>
      </c>
      <c r="AH19" s="84">
        <f t="shared" si="11"/>
        <v>0</v>
      </c>
      <c r="AI19" s="46">
        <f t="shared" si="12"/>
        <v>0</v>
      </c>
      <c r="AJ19" s="79">
        <f t="shared" si="13"/>
        <v>0</v>
      </c>
      <c r="AK19" s="84">
        <f t="shared" si="21"/>
        <v>16.592891931569714</v>
      </c>
      <c r="AL19" s="46">
        <f t="shared" si="14"/>
        <v>16.592891931569714</v>
      </c>
      <c r="AM19" s="46">
        <f t="shared" si="15"/>
        <v>0</v>
      </c>
    </row>
    <row r="20" spans="3:39">
      <c r="C20" t="s">
        <v>29</v>
      </c>
      <c r="D20" t="s">
        <v>413</v>
      </c>
      <c r="E20" s="59">
        <f>INDEX(DeployedCapacities!$D$73:$F$97, MATCH($C20, DeployedCapacities!$C$73:$C$97, 0), MATCH(E$10, DeployedCapacities!$D$71:$F$71, 0))</f>
        <v>0</v>
      </c>
      <c r="F20" s="46">
        <f>INDEX(DeployedCapacities!$D$73:$F$97, MATCH($C20, DeployedCapacities!$C$73:$C$97, 0), MATCH(F$10, DeployedCapacities!$D$71:$F$71, 0))</f>
        <v>0</v>
      </c>
      <c r="G20" s="46">
        <f>INDEX(DeployedCapacities!$D$73:$F$97, MATCH($C20, DeployedCapacities!$C$73:$C$97, 0), MATCH(G$10, DeployedCapacities!$D$71:$F$71, 0))</f>
        <v>0</v>
      </c>
      <c r="H20" s="59">
        <f>SUMIFS(TechAssumptions!$J$16:$J$90, TechAssumptions!$C$16:$C$90, $C20, TechAssumptions!$D$16:$D$90, H$9)*1000</f>
        <v>7332787.2309002094</v>
      </c>
      <c r="I20" s="46">
        <f>SUMIFS(TechAssumptions!$K$16:$K$90, TechAssumptions!$C$16:$C$90, $C20, TechAssumptions!$D$16:$D$90, I$9)*1000</f>
        <v>5596174.7388486071</v>
      </c>
      <c r="J20" s="46">
        <f>SUMIFS(TechAssumptions!$L$16:$L$90, TechAssumptions!$C$16:$C$90, $C20, TechAssumptions!$D$16:$D$90, J$9)*1000</f>
        <v>8710183.0331977941</v>
      </c>
      <c r="K20" s="46">
        <f>(SUMIFS(TechAssumptions!$J$16:$J$90, TechAssumptions!$C$16:$C$90, $C20, TechAssumptions!$D$16:$D$90, K$9))*1000</f>
        <v>353894.86238532112</v>
      </c>
      <c r="L20" s="13">
        <f>SUMIFS(TechAssumptions!$J$16:$J$90, TechAssumptions!$C$16:$C$90, $C20, TechAssumptions!$D$16:$D$90, L$9)</f>
        <v>12.275229357798166</v>
      </c>
      <c r="M20" s="13">
        <f>INDEX(TechAssumptions!$G$16:$G$90, MATCH(C20, TechAssumptions!$C$16:$C$90, 0))</f>
        <v>24</v>
      </c>
      <c r="N20" s="14">
        <f>INDEX(TechAssumptions!$H$16:$H$90, MATCH(C20, TechAssumptions!$C$16:$C$90, 0))</f>
        <v>9.9000000000000005E-2</v>
      </c>
      <c r="O20" s="58">
        <f>SUMIFS(DispatchVols!$I:$I, DispatchVols!$K:$K, $C20, DispatchVols!$C:$C, O$10)</f>
        <v>102.91</v>
      </c>
      <c r="P20" s="13">
        <f>SUMIFS(DispatchVols!$I:$I, DispatchVols!$K:$K, $C20, DispatchVols!$C:$C, P$10)</f>
        <v>101.53</v>
      </c>
      <c r="Q20" s="13">
        <f>SUMIFS(DispatchVols!$I:$I, DispatchVols!$K:$K, $C20, DispatchVols!$C:$C, Q$10)</f>
        <v>6.55</v>
      </c>
      <c r="R20" s="58">
        <f t="shared" si="16"/>
        <v>0</v>
      </c>
      <c r="S20" s="13">
        <f t="shared" si="0"/>
        <v>0</v>
      </c>
      <c r="T20" s="13">
        <f t="shared" si="1"/>
        <v>0</v>
      </c>
      <c r="U20" s="58">
        <f t="shared" si="17"/>
        <v>0</v>
      </c>
      <c r="V20" s="13">
        <f t="shared" si="18"/>
        <v>0</v>
      </c>
      <c r="W20" s="176">
        <f t="shared" si="19"/>
        <v>0</v>
      </c>
      <c r="X20" s="46">
        <f t="shared" si="3"/>
        <v>0</v>
      </c>
      <c r="Y20" s="46">
        <f t="shared" si="4"/>
        <v>0</v>
      </c>
      <c r="Z20" s="79">
        <f t="shared" si="5"/>
        <v>0</v>
      </c>
      <c r="AA20" s="84">
        <f t="shared" si="20"/>
        <v>0</v>
      </c>
      <c r="AB20" s="46">
        <f t="shared" si="6"/>
        <v>0</v>
      </c>
      <c r="AC20" s="79">
        <f t="shared" si="7"/>
        <v>0</v>
      </c>
      <c r="AD20" s="46">
        <f>($K20*INDEX(DeployedCapacities!$D$7:$D$31, MATCH($C20, DeployedCapacities!$C$7:$C$31, 0)))/10^6</f>
        <v>46.714121834862389</v>
      </c>
      <c r="AE20" s="46">
        <f t="shared" si="8"/>
        <v>46.714121834862389</v>
      </c>
      <c r="AF20" s="46">
        <f t="shared" si="9"/>
        <v>46.714121834862389</v>
      </c>
      <c r="AG20" s="46">
        <f t="shared" si="10"/>
        <v>46.714121834862389</v>
      </c>
      <c r="AH20" s="84">
        <f t="shared" si="11"/>
        <v>1.2632438532110091</v>
      </c>
      <c r="AI20" s="46">
        <f t="shared" si="12"/>
        <v>1.2463040366972478</v>
      </c>
      <c r="AJ20" s="79">
        <f t="shared" si="13"/>
        <v>8.0402752293577989E-2</v>
      </c>
      <c r="AK20" s="84">
        <f t="shared" si="21"/>
        <v>47.977365688073398</v>
      </c>
      <c r="AL20" s="46">
        <f t="shared" si="14"/>
        <v>47.960425871559636</v>
      </c>
      <c r="AM20" s="46">
        <f t="shared" si="15"/>
        <v>46.794524587155969</v>
      </c>
    </row>
    <row r="21" spans="3:39">
      <c r="C21" t="s">
        <v>30</v>
      </c>
      <c r="D21" t="s">
        <v>410</v>
      </c>
      <c r="E21" s="59">
        <f>INDEX(DeployedCapacities!$D$73:$F$97, MATCH($C21, DeployedCapacities!$C$73:$C$97, 0), MATCH(E$10, DeployedCapacities!$D$71:$F$71, 0))</f>
        <v>0</v>
      </c>
      <c r="F21" s="46">
        <f>INDEX(DeployedCapacities!$D$73:$F$97, MATCH($C21, DeployedCapacities!$C$73:$C$97, 0), MATCH(F$10, DeployedCapacities!$D$71:$F$71, 0))</f>
        <v>0</v>
      </c>
      <c r="G21" s="46">
        <f>INDEX(DeployedCapacities!$D$73:$F$97, MATCH($C21, DeployedCapacities!$C$73:$C$97, 0), MATCH(G$10, DeployedCapacities!$D$71:$F$71, 0))</f>
        <v>0</v>
      </c>
      <c r="H21" s="59">
        <f>SUMIFS(TechAssumptions!$J$16:$J$90, TechAssumptions!$C$16:$C$90, $C21, TechAssumptions!$D$16:$D$90, H$9)*1000</f>
        <v>766485.77981651376</v>
      </c>
      <c r="I21" s="46">
        <f>SUMIFS(TechAssumptions!$K$16:$K$90, TechAssumptions!$C$16:$C$90, $C21, TechAssumptions!$D$16:$D$90, I$9)*1000</f>
        <v>766485.77981651376</v>
      </c>
      <c r="J21" s="46">
        <f>SUMIFS(TechAssumptions!$L$16:$L$90, TechAssumptions!$C$16:$C$90, $C21, TechAssumptions!$D$16:$D$90, J$9)*1000</f>
        <v>766485.77981651376</v>
      </c>
      <c r="K21" s="46">
        <f>(SUMIFS(TechAssumptions!$J$16:$J$90, TechAssumptions!$C$16:$C$90, $C21, TechAssumptions!$D$16:$D$90, K$9))*1000</f>
        <v>20131.376146788989</v>
      </c>
      <c r="L21" s="13">
        <f>SUMIFS(TechAssumptions!$J$16:$J$90, TechAssumptions!$C$16:$C$90, $C21, TechAssumptions!$D$16:$D$90, L$9)</f>
        <v>2.4550458715596331</v>
      </c>
      <c r="M21" s="13">
        <f>INDEX(TechAssumptions!$G$16:$G$90, MATCH(C21, TechAssumptions!$C$16:$C$90, 0))</f>
        <v>25</v>
      </c>
      <c r="N21" s="14">
        <f>INDEX(TechAssumptions!$H$16:$H$90, MATCH(C21, TechAssumptions!$C$16:$C$90, 0))</f>
        <v>7.4999999999999997E-2</v>
      </c>
      <c r="O21" s="58">
        <f>SUMIFS(DispatchVols!$I:$I, DispatchVols!$K:$K, $C21, DispatchVols!$C:$C, O$10)</f>
        <v>14511.21</v>
      </c>
      <c r="P21" s="13">
        <f>SUMIFS(DispatchVols!$I:$I, DispatchVols!$K:$K, $C21, DispatchVols!$C:$C, P$10)</f>
        <v>14747.42</v>
      </c>
      <c r="Q21" s="13">
        <f>SUMIFS(DispatchVols!$I:$I, DispatchVols!$K:$K, $C21, DispatchVols!$C:$C, Q$10)</f>
        <v>60560.81</v>
      </c>
      <c r="R21" s="58">
        <f t="shared" si="16"/>
        <v>0</v>
      </c>
      <c r="S21" s="13">
        <f t="shared" si="0"/>
        <v>0</v>
      </c>
      <c r="T21" s="13">
        <f t="shared" si="1"/>
        <v>0</v>
      </c>
      <c r="U21" s="58">
        <f t="shared" si="17"/>
        <v>0</v>
      </c>
      <c r="V21" s="13">
        <f t="shared" si="18"/>
        <v>0</v>
      </c>
      <c r="W21" s="176">
        <f t="shared" si="19"/>
        <v>0</v>
      </c>
      <c r="X21" s="46">
        <f t="shared" si="3"/>
        <v>0</v>
      </c>
      <c r="Y21" s="46">
        <f t="shared" si="4"/>
        <v>0</v>
      </c>
      <c r="Z21" s="79">
        <f t="shared" si="5"/>
        <v>0</v>
      </c>
      <c r="AA21" s="84">
        <f t="shared" si="20"/>
        <v>0</v>
      </c>
      <c r="AB21" s="46">
        <f t="shared" si="6"/>
        <v>0</v>
      </c>
      <c r="AC21" s="79">
        <f t="shared" si="7"/>
        <v>0</v>
      </c>
      <c r="AD21" s="46">
        <f>($K21*INDEX(DeployedCapacities!$D$7:$D$31, MATCH($C21, DeployedCapacities!$C$7:$C$31, 0)))/10^6</f>
        <v>589.89340881467876</v>
      </c>
      <c r="AE21" s="46">
        <f t="shared" si="8"/>
        <v>589.89340881467876</v>
      </c>
      <c r="AF21" s="46">
        <f t="shared" si="9"/>
        <v>589.89340881467876</v>
      </c>
      <c r="AG21" s="46">
        <f t="shared" si="10"/>
        <v>589.89340881467876</v>
      </c>
      <c r="AH21" s="84">
        <f t="shared" si="11"/>
        <v>35.625686201834867</v>
      </c>
      <c r="AI21" s="46">
        <f t="shared" si="12"/>
        <v>36.205592587155969</v>
      </c>
      <c r="AJ21" s="79">
        <f t="shared" si="13"/>
        <v>148.67956656880733</v>
      </c>
      <c r="AK21" s="84">
        <f t="shared" si="21"/>
        <v>625.51909501651357</v>
      </c>
      <c r="AL21" s="46">
        <f t="shared" si="14"/>
        <v>626.0990014018347</v>
      </c>
      <c r="AM21" s="46">
        <f t="shared" si="15"/>
        <v>738.5729753834861</v>
      </c>
    </row>
    <row r="22" spans="3:39">
      <c r="C22" t="s">
        <v>31</v>
      </c>
      <c r="D22" t="s">
        <v>413</v>
      </c>
      <c r="E22" s="59">
        <f>INDEX(DeployedCapacities!$D$73:$F$97, MATCH($C22, DeployedCapacities!$C$73:$C$97, 0), MATCH(E$10, DeployedCapacities!$D$71:$F$71, 0))</f>
        <v>0</v>
      </c>
      <c r="F22" s="46">
        <f>INDEX(DeployedCapacities!$D$73:$F$97, MATCH($C22, DeployedCapacities!$C$73:$C$97, 0), MATCH(F$10, DeployedCapacities!$D$71:$F$71, 0))</f>
        <v>1000</v>
      </c>
      <c r="G22" s="46">
        <f>INDEX(DeployedCapacities!$D$73:$F$97, MATCH($C22, DeployedCapacities!$C$73:$C$97, 0), MATCH(G$10, DeployedCapacities!$D$71:$F$71, 0))</f>
        <v>0</v>
      </c>
      <c r="H22" s="59">
        <f>SUMIFS(TechAssumptions!$J$16:$J$90, TechAssumptions!$C$16:$C$90, $C22, TechAssumptions!$D$16:$D$90, H$9)*1000</f>
        <v>892102.29357798165</v>
      </c>
      <c r="I22" s="46">
        <f>SUMIFS(TechAssumptions!$K$16:$K$90, TechAssumptions!$C$16:$C$90, $C22, TechAssumptions!$D$16:$D$90, I$9)*1000</f>
        <v>892102.29357798165</v>
      </c>
      <c r="J22" s="46">
        <f>SUMIFS(TechAssumptions!$L$16:$L$90, TechAssumptions!$C$16:$C$90, $C22, TechAssumptions!$D$16:$D$90, J$9)*1000</f>
        <v>892102.29357798165</v>
      </c>
      <c r="K22" s="46">
        <f>(SUMIFS(TechAssumptions!$J$16:$J$90, TechAssumptions!$C$16:$C$90, $C22, TechAssumptions!$D$16:$D$90, K$9))*1000</f>
        <v>22463.669724770643</v>
      </c>
      <c r="L22" s="13">
        <f>SUMIFS(TechAssumptions!$J$16:$J$90, TechAssumptions!$C$16:$C$90, $C22, TechAssumptions!$D$16:$D$90, L$9)</f>
        <v>2.4550458715596331</v>
      </c>
      <c r="M22" s="13">
        <f>INDEX(TechAssumptions!$G$16:$G$90, MATCH(C22, TechAssumptions!$C$16:$C$90, 0))</f>
        <v>25</v>
      </c>
      <c r="N22" s="14">
        <f>INDEX(TechAssumptions!$H$16:$H$90, MATCH(C22, TechAssumptions!$C$16:$C$90, 0))</f>
        <v>0.09</v>
      </c>
      <c r="O22" s="58">
        <f>SUMIFS(DispatchVols!$I:$I, DispatchVols!$K:$K, $C22, DispatchVols!$C:$C, O$10)</f>
        <v>0</v>
      </c>
      <c r="P22" s="13">
        <f>SUMIFS(DispatchVols!$I:$I, DispatchVols!$K:$K, $C22, DispatchVols!$C:$C, P$10)</f>
        <v>5116.57</v>
      </c>
      <c r="Q22" s="13">
        <f>SUMIFS(DispatchVols!$I:$I, DispatchVols!$K:$K, $C22, DispatchVols!$C:$C, Q$10)</f>
        <v>0</v>
      </c>
      <c r="R22" s="58">
        <f t="shared" si="16"/>
        <v>0</v>
      </c>
      <c r="S22" s="13">
        <f t="shared" si="0"/>
        <v>892.10229357798164</v>
      </c>
      <c r="T22" s="13">
        <f t="shared" si="1"/>
        <v>0</v>
      </c>
      <c r="U22" s="58">
        <f t="shared" si="17"/>
        <v>0</v>
      </c>
      <c r="V22" s="13">
        <f t="shared" si="18"/>
        <v>148.68371559633027</v>
      </c>
      <c r="W22" s="176">
        <f t="shared" si="19"/>
        <v>0</v>
      </c>
      <c r="X22" s="46">
        <f t="shared" si="3"/>
        <v>0</v>
      </c>
      <c r="Y22" s="46">
        <f t="shared" si="4"/>
        <v>90.821589588192509</v>
      </c>
      <c r="Z22" s="79">
        <f t="shared" si="5"/>
        <v>0</v>
      </c>
      <c r="AA22" s="84">
        <f t="shared" si="20"/>
        <v>0</v>
      </c>
      <c r="AB22" s="46">
        <f t="shared" si="6"/>
        <v>22.463669724770643</v>
      </c>
      <c r="AC22" s="79">
        <f t="shared" si="7"/>
        <v>0</v>
      </c>
      <c r="AD22" s="46">
        <f>($K22*INDEX(DeployedCapacities!$D$7:$D$31, MATCH($C22, DeployedCapacities!$C$7:$C$31, 0)))/10^6</f>
        <v>0</v>
      </c>
      <c r="AE22" s="46">
        <f t="shared" si="8"/>
        <v>0</v>
      </c>
      <c r="AF22" s="46">
        <f t="shared" si="9"/>
        <v>22.463669724770643</v>
      </c>
      <c r="AG22" s="46">
        <f t="shared" si="10"/>
        <v>0</v>
      </c>
      <c r="AH22" s="84">
        <f t="shared" si="11"/>
        <v>0</v>
      </c>
      <c r="AI22" s="46">
        <f t="shared" si="12"/>
        <v>12.561414055045873</v>
      </c>
      <c r="AJ22" s="79">
        <f t="shared" si="13"/>
        <v>0</v>
      </c>
      <c r="AK22" s="84">
        <f t="shared" si="21"/>
        <v>0</v>
      </c>
      <c r="AL22" s="46">
        <f t="shared" si="14"/>
        <v>125.84667336800902</v>
      </c>
      <c r="AM22" s="46">
        <f t="shared" si="15"/>
        <v>0</v>
      </c>
    </row>
    <row r="23" spans="3:39">
      <c r="C23" t="s">
        <v>32</v>
      </c>
      <c r="D23" t="s">
        <v>413</v>
      </c>
      <c r="E23" s="59">
        <f>INDEX(DeployedCapacities!$D$73:$F$97, MATCH($C23, DeployedCapacities!$C$73:$C$97, 0), MATCH(E$10, DeployedCapacities!$D$71:$F$71, 0))</f>
        <v>450</v>
      </c>
      <c r="F23" s="46">
        <f>INDEX(DeployedCapacities!$D$73:$F$97, MATCH($C23, DeployedCapacities!$C$73:$C$97, 0), MATCH(F$10, DeployedCapacities!$D$71:$F$71, 0))</f>
        <v>900</v>
      </c>
      <c r="G23" s="46">
        <f>INDEX(DeployedCapacities!$D$73:$F$97, MATCH($C23, DeployedCapacities!$C$73:$C$97, 0), MATCH(G$10, DeployedCapacities!$D$71:$F$71, 0))</f>
        <v>0</v>
      </c>
      <c r="H23" s="59">
        <f>SUMIFS(TechAssumptions!$J$16:$J$90, TechAssumptions!$C$16:$C$90, $C23, TechAssumptions!$D$16:$D$90, H$9)*1000</f>
        <v>1403341.8853974121</v>
      </c>
      <c r="I23" s="46">
        <f>SUMIFS(TechAssumptions!$K$16:$K$90, TechAssumptions!$C$16:$C$90, $C23, TechAssumptions!$D$16:$D$90, I$9)*1000</f>
        <v>1403341.8853974121</v>
      </c>
      <c r="J23" s="46">
        <f>SUMIFS(TechAssumptions!$L$16:$L$90, TechAssumptions!$C$16:$C$90, $C23, TechAssumptions!$D$16:$D$90, J$9)*1000</f>
        <v>1403341.8853974121</v>
      </c>
      <c r="K23" s="46">
        <f>(SUMIFS(TechAssumptions!$J$16:$J$90, TechAssumptions!$C$16:$C$90, $C23, TechAssumptions!$D$16:$D$90, K$9))*1000</f>
        <v>53977.541589648805</v>
      </c>
      <c r="L23" s="13">
        <f>SUMIFS(TechAssumptions!$J$16:$J$90, TechAssumptions!$C$16:$C$90, $C23, TechAssumptions!$D$16:$D$90, L$9)</f>
        <v>9.6454713493530519</v>
      </c>
      <c r="M23" s="13">
        <f>INDEX(TechAssumptions!$G$16:$G$90, MATCH(C23, TechAssumptions!$C$16:$C$90, 0))</f>
        <v>30</v>
      </c>
      <c r="N23" s="14">
        <f>INDEX(TechAssumptions!$H$16:$H$90, MATCH(C23, TechAssumptions!$C$16:$C$90, 0))</f>
        <v>0.1</v>
      </c>
      <c r="O23" s="58">
        <f>SUMIFS(DispatchVols!$I:$I, DispatchVols!$K:$K, $C23, DispatchVols!$C:$C, O$10)</f>
        <v>3503.25</v>
      </c>
      <c r="P23" s="13">
        <f>SUMIFS(DispatchVols!$I:$I, DispatchVols!$K:$K, $C23, DispatchVols!$C:$C, P$10)</f>
        <v>6991.76</v>
      </c>
      <c r="Q23" s="13">
        <f>SUMIFS(DispatchVols!$I:$I, DispatchVols!$K:$K, $C23, DispatchVols!$C:$C, Q$10)</f>
        <v>0</v>
      </c>
      <c r="R23" s="58">
        <f t="shared" si="16"/>
        <v>631.50384842883557</v>
      </c>
      <c r="S23" s="13">
        <f t="shared" si="0"/>
        <v>1263.0076968576711</v>
      </c>
      <c r="T23" s="13">
        <f t="shared" si="1"/>
        <v>0</v>
      </c>
      <c r="U23" s="58">
        <f t="shared" si="17"/>
        <v>105.25064140480593</v>
      </c>
      <c r="V23" s="13">
        <f t="shared" si="18"/>
        <v>210.50128280961187</v>
      </c>
      <c r="W23" s="176">
        <f t="shared" si="19"/>
        <v>0</v>
      </c>
      <c r="X23" s="46">
        <f t="shared" si="3"/>
        <v>66.989453509976144</v>
      </c>
      <c r="Y23" s="46">
        <f t="shared" si="4"/>
        <v>133.97890701995229</v>
      </c>
      <c r="Z23" s="79">
        <f t="shared" si="5"/>
        <v>0</v>
      </c>
      <c r="AA23" s="84">
        <f t="shared" si="20"/>
        <v>24.289893715341965</v>
      </c>
      <c r="AB23" s="46">
        <f t="shared" si="6"/>
        <v>48.579787430683929</v>
      </c>
      <c r="AC23" s="79">
        <f t="shared" si="7"/>
        <v>0</v>
      </c>
      <c r="AD23" s="46">
        <f>($K23*INDEX(DeployedCapacities!$D$7:$D$31, MATCH($C23, DeployedCapacities!$C$7:$C$31, 0)))/10^6</f>
        <v>0</v>
      </c>
      <c r="AE23" s="46">
        <f t="shared" si="8"/>
        <v>24.289893715341965</v>
      </c>
      <c r="AF23" s="46">
        <f t="shared" si="9"/>
        <v>48.579787430683929</v>
      </c>
      <c r="AG23" s="46">
        <f t="shared" si="10"/>
        <v>0</v>
      </c>
      <c r="AH23" s="84">
        <f t="shared" si="11"/>
        <v>33.790497504621079</v>
      </c>
      <c r="AI23" s="46">
        <f t="shared" si="12"/>
        <v>67.438820761552705</v>
      </c>
      <c r="AJ23" s="79">
        <f t="shared" si="13"/>
        <v>0</v>
      </c>
      <c r="AK23" s="84">
        <f t="shared" si="21"/>
        <v>125.06984472993918</v>
      </c>
      <c r="AL23" s="46">
        <f t="shared" si="14"/>
        <v>249.99751521218892</v>
      </c>
      <c r="AM23" s="46">
        <f t="shared" si="15"/>
        <v>0</v>
      </c>
    </row>
    <row r="24" spans="3:39">
      <c r="C24" t="s">
        <v>33</v>
      </c>
      <c r="D24" t="s">
        <v>413</v>
      </c>
      <c r="E24" s="59">
        <f>INDEX(DeployedCapacities!$D$73:$F$97, MATCH($C24, DeployedCapacities!$C$73:$C$97, 0), MATCH(E$10, DeployedCapacities!$D$71:$F$71, 0))</f>
        <v>0</v>
      </c>
      <c r="F24" s="46">
        <f>INDEX(DeployedCapacities!$D$73:$F$97, MATCH($C24, DeployedCapacities!$C$73:$C$97, 0), MATCH(F$10, DeployedCapacities!$D$71:$F$71, 0))</f>
        <v>1410</v>
      </c>
      <c r="G24" s="46">
        <f>INDEX(DeployedCapacities!$D$73:$F$97, MATCH($C24, DeployedCapacities!$C$73:$C$97, 0), MATCH(G$10, DeployedCapacities!$D$71:$F$71, 0))</f>
        <v>0</v>
      </c>
      <c r="H24" s="59">
        <f>SUMIFS(TechAssumptions!$J$16:$J$90, TechAssumptions!$C$16:$C$90, $C24, TechAssumptions!$D$16:$D$90, H$9)*1000</f>
        <v>2791798.0427326225</v>
      </c>
      <c r="I24" s="46">
        <f>SUMIFS(TechAssumptions!$K$16:$K$90, TechAssumptions!$C$16:$C$90, $C24, TechAssumptions!$D$16:$D$90, I$9)*1000</f>
        <v>2791798.0427326225</v>
      </c>
      <c r="J24" s="46">
        <f>SUMIFS(TechAssumptions!$L$16:$L$90, TechAssumptions!$C$16:$C$90, $C24, TechAssumptions!$D$16:$D$90, J$9)*1000</f>
        <v>2791798.0427326225</v>
      </c>
      <c r="K24" s="46">
        <f>(SUMIFS(TechAssumptions!$J$16:$J$90, TechAssumptions!$C$16:$C$90, $C24, TechAssumptions!$D$16:$D$90, K$9))*1000</f>
        <v>42989.818722352698</v>
      </c>
      <c r="L24" s="13">
        <f>SUMIFS(TechAssumptions!$J$16:$J$90, TechAssumptions!$C$16:$C$90, $C24, TechAssumptions!$D$16:$D$90, L$9)</f>
        <v>4.0545454545454547</v>
      </c>
      <c r="M24" s="13">
        <f>INDEX(TechAssumptions!$G$16:$G$90, MATCH(C24, TechAssumptions!$C$16:$C$90, 0))</f>
        <v>25</v>
      </c>
      <c r="N24" s="14">
        <f>INDEX(TechAssumptions!$H$16:$H$90, MATCH(C24, TechAssumptions!$C$16:$C$90, 0))</f>
        <v>0.09</v>
      </c>
      <c r="O24" s="58">
        <f>SUMIFS(DispatchVols!$I:$I, DispatchVols!$K:$K, $C24, DispatchVols!$C:$C, O$10)</f>
        <v>0</v>
      </c>
      <c r="P24" s="13">
        <f>SUMIFS(DispatchVols!$I:$I, DispatchVols!$K:$K, $C24, DispatchVols!$C:$C, P$10)</f>
        <v>5596.71</v>
      </c>
      <c r="Q24" s="13">
        <f>SUMIFS(DispatchVols!$I:$I, DispatchVols!$K:$K, $C24, DispatchVols!$C:$C, Q$10)</f>
        <v>0</v>
      </c>
      <c r="R24" s="58">
        <f t="shared" si="16"/>
        <v>0</v>
      </c>
      <c r="S24" s="13">
        <f t="shared" si="0"/>
        <v>3936.435240252998</v>
      </c>
      <c r="T24" s="13">
        <f t="shared" si="1"/>
        <v>0</v>
      </c>
      <c r="U24" s="58">
        <f t="shared" si="17"/>
        <v>0</v>
      </c>
      <c r="V24" s="13">
        <f t="shared" si="18"/>
        <v>656.07254004216634</v>
      </c>
      <c r="W24" s="176">
        <f t="shared" si="19"/>
        <v>0</v>
      </c>
      <c r="X24" s="46">
        <f t="shared" si="3"/>
        <v>0</v>
      </c>
      <c r="Y24" s="46">
        <f t="shared" si="4"/>
        <v>400.75371221933119</v>
      </c>
      <c r="Z24" s="79">
        <f t="shared" si="5"/>
        <v>0</v>
      </c>
      <c r="AA24" s="84">
        <f t="shared" si="20"/>
        <v>0</v>
      </c>
      <c r="AB24" s="46">
        <f t="shared" si="6"/>
        <v>60.615644398517304</v>
      </c>
      <c r="AC24" s="79">
        <f t="shared" si="7"/>
        <v>0</v>
      </c>
      <c r="AD24" s="46">
        <f>($K24*INDEX(DeployedCapacities!$D$7:$D$31, MATCH($C24, DeployedCapacities!$C$7:$C$31, 0)))/10^6</f>
        <v>0</v>
      </c>
      <c r="AE24" s="46">
        <f t="shared" si="8"/>
        <v>0</v>
      </c>
      <c r="AF24" s="46">
        <f t="shared" si="9"/>
        <v>60.615644398517304</v>
      </c>
      <c r="AG24" s="46">
        <f t="shared" si="10"/>
        <v>0</v>
      </c>
      <c r="AH24" s="84">
        <f t="shared" si="11"/>
        <v>0</v>
      </c>
      <c r="AI24" s="46">
        <f t="shared" si="12"/>
        <v>22.692115090909091</v>
      </c>
      <c r="AJ24" s="79">
        <f t="shared" si="13"/>
        <v>0</v>
      </c>
      <c r="AK24" s="84">
        <f t="shared" si="21"/>
        <v>0</v>
      </c>
      <c r="AL24" s="46">
        <f t="shared" si="14"/>
        <v>484.06147170875761</v>
      </c>
      <c r="AM24" s="46">
        <f t="shared" si="15"/>
        <v>0</v>
      </c>
    </row>
    <row r="25" spans="3:39">
      <c r="C25" t="s">
        <v>34</v>
      </c>
      <c r="D25" t="s">
        <v>410</v>
      </c>
      <c r="E25" s="59">
        <f>INDEX(DeployedCapacities!$D$73:$F$97, MATCH($C25, DeployedCapacities!$C$73:$C$97, 0), MATCH(E$10, DeployedCapacities!$D$71:$F$71, 0))</f>
        <v>1688.5000000000009</v>
      </c>
      <c r="F25" s="46">
        <f>INDEX(DeployedCapacities!$D$73:$F$97, MATCH($C25, DeployedCapacities!$C$73:$C$97, 0), MATCH(F$10, DeployedCapacities!$D$71:$F$71, 0))</f>
        <v>1688.5000000000009</v>
      </c>
      <c r="G25" s="46">
        <f>INDEX(DeployedCapacities!$D$73:$F$97, MATCH($C25, DeployedCapacities!$C$73:$C$97, 0), MATCH(G$10, DeployedCapacities!$D$71:$F$71, 0))</f>
        <v>3836.7900000000009</v>
      </c>
      <c r="H25" s="59">
        <f>SUMIFS(TechAssumptions!$J$16:$J$90, TechAssumptions!$C$16:$C$90, $C25, TechAssumptions!$D$16:$D$90, H$9)*1000</f>
        <v>619899.08256880729</v>
      </c>
      <c r="I25" s="46">
        <f>SUMIFS(TechAssumptions!$K$16:$K$90, TechAssumptions!$C$16:$C$90, $C25, TechAssumptions!$D$16:$D$90, I$9)*1000</f>
        <v>619899.08256880729</v>
      </c>
      <c r="J25" s="46">
        <f>SUMIFS(TechAssumptions!$L$16:$L$90, TechAssumptions!$C$16:$C$90, $C25, TechAssumptions!$D$16:$D$90, J$9)*1000</f>
        <v>619899.08256880729</v>
      </c>
      <c r="K25" s="46">
        <f>(SUMIFS(TechAssumptions!$J$16:$J$90, TechAssumptions!$C$16:$C$90, $C25, TechAssumptions!$D$16:$D$90, K$9))*1000</f>
        <v>15344.036697247706</v>
      </c>
      <c r="L25" s="13">
        <f>SUMIFS(TechAssumptions!$J$16:$J$90, TechAssumptions!$C$16:$C$90, $C25, TechAssumptions!$D$16:$D$90, L$9)</f>
        <v>0</v>
      </c>
      <c r="M25" s="13">
        <f>INDEX(TechAssumptions!$G$16:$G$90, MATCH(C25, TechAssumptions!$C$16:$C$90, 0))</f>
        <v>15</v>
      </c>
      <c r="N25" s="14">
        <f>INDEX(TechAssumptions!$H$16:$H$90, MATCH(C25, TechAssumptions!$C$16:$C$90, 0))</f>
        <v>7.0999999999999994E-2</v>
      </c>
      <c r="O25" s="58">
        <f>SUMIFS(DispatchVols!$I:$I, DispatchVols!$K:$K, $C25, DispatchVols!$C:$C, O$10)</f>
        <v>0</v>
      </c>
      <c r="P25" s="13">
        <f>SUMIFS(DispatchVols!$I:$I, DispatchVols!$K:$K, $C25, DispatchVols!$C:$C, P$10)</f>
        <v>0</v>
      </c>
      <c r="Q25" s="13">
        <f>SUMIFS(DispatchVols!$I:$I, DispatchVols!$K:$K, $C25, DispatchVols!$C:$C, Q$10)</f>
        <v>36.78</v>
      </c>
      <c r="R25" s="58">
        <f t="shared" si="16"/>
        <v>1046.6996009174318</v>
      </c>
      <c r="S25" s="13">
        <f t="shared" si="0"/>
        <v>1046.6996009174318</v>
      </c>
      <c r="T25" s="13">
        <f t="shared" si="1"/>
        <v>2378.4226010091747</v>
      </c>
      <c r="U25" s="58">
        <f t="shared" si="17"/>
        <v>174.44993348623862</v>
      </c>
      <c r="V25" s="13">
        <f t="shared" si="18"/>
        <v>174.44993348623862</v>
      </c>
      <c r="W25" s="176">
        <f t="shared" si="19"/>
        <v>396.40376683486244</v>
      </c>
      <c r="X25" s="46">
        <f t="shared" si="3"/>
        <v>115.64891727325939</v>
      </c>
      <c r="Y25" s="46">
        <f t="shared" si="4"/>
        <v>115.64891727325939</v>
      </c>
      <c r="Z25" s="79">
        <f t="shared" si="5"/>
        <v>262.78981895461578</v>
      </c>
      <c r="AA25" s="84">
        <f t="shared" si="20"/>
        <v>25.908405963302766</v>
      </c>
      <c r="AB25" s="46">
        <f t="shared" si="6"/>
        <v>25.908405963302766</v>
      </c>
      <c r="AC25" s="79">
        <f t="shared" si="7"/>
        <v>58.871846559633042</v>
      </c>
      <c r="AD25" s="46">
        <f>($K25*INDEX(DeployedCapacities!$D$7:$D$31, MATCH($C25, DeployedCapacities!$C$7:$C$31, 0)))/10^6</f>
        <v>36.221133027522932</v>
      </c>
      <c r="AE25" s="46">
        <f t="shared" si="8"/>
        <v>62.129538990825694</v>
      </c>
      <c r="AF25" s="46">
        <f t="shared" si="9"/>
        <v>62.129538990825694</v>
      </c>
      <c r="AG25" s="46">
        <f t="shared" si="10"/>
        <v>95.09297958715598</v>
      </c>
      <c r="AH25" s="84">
        <f t="shared" si="11"/>
        <v>0</v>
      </c>
      <c r="AI25" s="46">
        <f t="shared" si="12"/>
        <v>0</v>
      </c>
      <c r="AJ25" s="79">
        <f t="shared" si="13"/>
        <v>0</v>
      </c>
      <c r="AK25" s="84">
        <f t="shared" si="21"/>
        <v>177.77845626408509</v>
      </c>
      <c r="AL25" s="46">
        <f t="shared" si="14"/>
        <v>177.77845626408509</v>
      </c>
      <c r="AM25" s="46">
        <f t="shared" si="15"/>
        <v>357.88279854177176</v>
      </c>
    </row>
    <row r="26" spans="3:39">
      <c r="C26" t="s">
        <v>35</v>
      </c>
      <c r="D26" t="s">
        <v>410</v>
      </c>
      <c r="E26" s="59">
        <f>INDEX(DeployedCapacities!$D$73:$F$97, MATCH($C26, DeployedCapacities!$C$73:$C$97, 0), MATCH(E$10, DeployedCapacities!$D$71:$F$71, 0))</f>
        <v>1882.9999999999995</v>
      </c>
      <c r="F26" s="46">
        <f>INDEX(DeployedCapacities!$D$73:$F$97, MATCH($C26, DeployedCapacities!$C$73:$C$97, 0), MATCH(F$10, DeployedCapacities!$D$71:$F$71, 0))</f>
        <v>1882.9999999999995</v>
      </c>
      <c r="G26" s="46">
        <f>INDEX(DeployedCapacities!$D$73:$F$97, MATCH($C26, DeployedCapacities!$C$73:$C$97, 0), MATCH(G$10, DeployedCapacities!$D$71:$F$71, 0))</f>
        <v>1519</v>
      </c>
      <c r="H26" s="59">
        <f>SUMIFS(TechAssumptions!$J$16:$J$90, TechAssumptions!$C$16:$C$90, $C26, TechAssumptions!$D$16:$D$90, H$9)*1000</f>
        <v>426779.44887908408</v>
      </c>
      <c r="I26" s="46">
        <f>SUMIFS(TechAssumptions!$K$16:$K$90, TechAssumptions!$C$16:$C$90, $C26, TechAssumptions!$D$16:$D$90, I$9)*1000</f>
        <v>426779.44887908408</v>
      </c>
      <c r="J26" s="46">
        <f>SUMIFS(TechAssumptions!$L$16:$L$90, TechAssumptions!$C$16:$C$90, $C26, TechAssumptions!$D$16:$D$90, J$9)*1000</f>
        <v>426779.44887908408</v>
      </c>
      <c r="K26" s="46">
        <f>(SUMIFS(TechAssumptions!$J$16:$J$90, TechAssumptions!$C$16:$C$90, $C26, TechAssumptions!$D$16:$D$90, K$9))*1000</f>
        <v>7978.899082568807</v>
      </c>
      <c r="L26" s="13">
        <f>SUMIFS(TechAssumptions!$J$16:$J$90, TechAssumptions!$C$16:$C$90, $C26, TechAssumptions!$D$16:$D$90, L$9)</f>
        <v>1.2275229357798165</v>
      </c>
      <c r="M26" s="13">
        <f>INDEX(TechAssumptions!$G$16:$G$90, MATCH(C26, TechAssumptions!$C$16:$C$90, 0))</f>
        <v>25</v>
      </c>
      <c r="N26" s="14">
        <f>INDEX(TechAssumptions!$H$16:$H$90, MATCH(C26, TechAssumptions!$C$16:$C$90, 0))</f>
        <v>7.0999999999999994E-2</v>
      </c>
      <c r="O26" s="58">
        <f>SUMIFS(DispatchVols!$I:$I, DispatchVols!$K:$K, $C26, DispatchVols!$C:$C, O$10)</f>
        <v>55.82</v>
      </c>
      <c r="P26" s="13">
        <f>SUMIFS(DispatchVols!$I:$I, DispatchVols!$K:$K, $C26, DispatchVols!$C:$C, P$10)</f>
        <v>56.16</v>
      </c>
      <c r="Q26" s="13">
        <f>SUMIFS(DispatchVols!$I:$I, DispatchVols!$K:$K, $C26, DispatchVols!$C:$C, Q$10)</f>
        <v>345.76</v>
      </c>
      <c r="R26" s="58">
        <f t="shared" si="16"/>
        <v>803.62570223931516</v>
      </c>
      <c r="S26" s="13">
        <f t="shared" si="0"/>
        <v>803.62570223931516</v>
      </c>
      <c r="T26" s="13">
        <f t="shared" si="1"/>
        <v>648.27798284732876</v>
      </c>
      <c r="U26" s="58">
        <f t="shared" si="17"/>
        <v>133.93761703988585</v>
      </c>
      <c r="V26" s="13">
        <f t="shared" si="18"/>
        <v>133.93761703988585</v>
      </c>
      <c r="W26" s="176">
        <f t="shared" si="19"/>
        <v>108.04633047455479</v>
      </c>
      <c r="X26" s="46">
        <f t="shared" si="3"/>
        <v>69.581899209199292</v>
      </c>
      <c r="Y26" s="46">
        <f t="shared" si="4"/>
        <v>69.581899209199292</v>
      </c>
      <c r="Z26" s="79">
        <f t="shared" si="5"/>
        <v>56.131123153889419</v>
      </c>
      <c r="AA26" s="84">
        <f t="shared" si="20"/>
        <v>15.02426697247706</v>
      </c>
      <c r="AB26" s="46">
        <f t="shared" si="6"/>
        <v>15.02426697247706</v>
      </c>
      <c r="AC26" s="79">
        <f t="shared" si="7"/>
        <v>12.119947706422018</v>
      </c>
      <c r="AD26" s="46">
        <f>($K26*INDEX(DeployedCapacities!$D$7:$D$31, MATCH($C26, DeployedCapacities!$C$7:$C$31, 0)))/10^6</f>
        <v>17.185670944954126</v>
      </c>
      <c r="AE26" s="46">
        <f t="shared" si="8"/>
        <v>32.209937917431184</v>
      </c>
      <c r="AF26" s="46">
        <f t="shared" si="9"/>
        <v>32.209937917431184</v>
      </c>
      <c r="AG26" s="46">
        <f t="shared" si="10"/>
        <v>29.305618651376143</v>
      </c>
      <c r="AH26" s="84">
        <f t="shared" si="11"/>
        <v>6.8520330275229371E-2</v>
      </c>
      <c r="AI26" s="46">
        <f t="shared" si="12"/>
        <v>6.8937688073394496E-2</v>
      </c>
      <c r="AJ26" s="79">
        <f t="shared" si="13"/>
        <v>0.42442833027522942</v>
      </c>
      <c r="AK26" s="84">
        <f t="shared" si="21"/>
        <v>101.86035745690572</v>
      </c>
      <c r="AL26" s="46">
        <f t="shared" si="14"/>
        <v>101.86077481470387</v>
      </c>
      <c r="AM26" s="46">
        <f t="shared" si="15"/>
        <v>85.861170135540803</v>
      </c>
    </row>
    <row r="27" spans="3:39">
      <c r="C27" t="s">
        <v>36</v>
      </c>
      <c r="D27" t="s">
        <v>410</v>
      </c>
      <c r="E27" s="59">
        <f>INDEX(DeployedCapacities!$D$73:$F$97, MATCH($C27, DeployedCapacities!$C$73:$C$97, 0), MATCH(E$10, DeployedCapacities!$D$71:$F$71, 0))</f>
        <v>0</v>
      </c>
      <c r="F27" s="46">
        <f>INDEX(DeployedCapacities!$D$73:$F$97, MATCH($C27, DeployedCapacities!$C$73:$C$97, 0), MATCH(F$10, DeployedCapacities!$D$71:$F$71, 0))</f>
        <v>0</v>
      </c>
      <c r="G27" s="46">
        <f>INDEX(DeployedCapacities!$D$73:$F$97, MATCH($C27, DeployedCapacities!$C$73:$C$97, 0), MATCH(G$10, DeployedCapacities!$D$71:$F$71, 0))</f>
        <v>0</v>
      </c>
      <c r="H27" s="59">
        <f>SUMIFS(TechAssumptions!$J$16:$J$90, TechAssumptions!$C$16:$C$90, $C27, TechAssumptions!$D$16:$D$90, H$9)*1000</f>
        <v>426779.44887908408</v>
      </c>
      <c r="I27" s="46">
        <f>SUMIFS(TechAssumptions!$K$16:$K$90, TechAssumptions!$C$16:$C$90, $C27, TechAssumptions!$D$16:$D$90, I$9)*1000</f>
        <v>426779.44887908408</v>
      </c>
      <c r="J27" s="46">
        <f>SUMIFS(TechAssumptions!$L$16:$L$90, TechAssumptions!$C$16:$C$90, $C27, TechAssumptions!$D$16:$D$90, J$9)*1000</f>
        <v>426779.44887908408</v>
      </c>
      <c r="K27" s="46">
        <f>(SUMIFS(TechAssumptions!$J$16:$J$90, TechAssumptions!$C$16:$C$90, $C27, TechAssumptions!$D$16:$D$90, K$9))*1000</f>
        <v>7978.899082568807</v>
      </c>
      <c r="L27" s="13">
        <f>SUMIFS(TechAssumptions!$J$16:$J$90, TechAssumptions!$C$16:$C$90, $C27, TechAssumptions!$D$16:$D$90, L$9)</f>
        <v>1.2275229357798165</v>
      </c>
      <c r="M27" s="13">
        <f>INDEX(TechAssumptions!$G$16:$G$90, MATCH(C27, TechAssumptions!$C$16:$C$90, 0))</f>
        <v>25</v>
      </c>
      <c r="N27" s="14">
        <f>INDEX(TechAssumptions!$H$16:$H$90, MATCH(C27, TechAssumptions!$C$16:$C$90, 0))</f>
        <v>7.0999999999999994E-2</v>
      </c>
      <c r="O27" s="58">
        <f>SUMIFS(DispatchVols!$I:$I, DispatchVols!$K:$K, $C27, DispatchVols!$C:$C, O$10)</f>
        <v>11097.59</v>
      </c>
      <c r="P27" s="13">
        <f>SUMIFS(DispatchVols!$I:$I, DispatchVols!$K:$K, $C27, DispatchVols!$C:$C, P$10)</f>
        <v>11103.42</v>
      </c>
      <c r="Q27" s="13">
        <f>SUMIFS(DispatchVols!$I:$I, DispatchVols!$K:$K, $C27, DispatchVols!$C:$C, Q$10)</f>
        <v>11138.41</v>
      </c>
      <c r="R27" s="58">
        <f t="shared" si="16"/>
        <v>0</v>
      </c>
      <c r="S27" s="13">
        <f t="shared" si="0"/>
        <v>0</v>
      </c>
      <c r="T27" s="13">
        <f t="shared" si="1"/>
        <v>0</v>
      </c>
      <c r="U27" s="58">
        <f t="shared" si="17"/>
        <v>0</v>
      </c>
      <c r="V27" s="13">
        <f t="shared" si="18"/>
        <v>0</v>
      </c>
      <c r="W27" s="176">
        <f t="shared" si="19"/>
        <v>0</v>
      </c>
      <c r="X27" s="46">
        <f t="shared" si="3"/>
        <v>0</v>
      </c>
      <c r="Y27" s="46">
        <f t="shared" si="4"/>
        <v>0</v>
      </c>
      <c r="Z27" s="79">
        <f t="shared" si="5"/>
        <v>0</v>
      </c>
      <c r="AA27" s="84">
        <f t="shared" si="20"/>
        <v>0</v>
      </c>
      <c r="AB27" s="46">
        <f t="shared" si="6"/>
        <v>0</v>
      </c>
      <c r="AC27" s="79">
        <f t="shared" si="7"/>
        <v>0</v>
      </c>
      <c r="AD27" s="46">
        <f>($K27*INDEX(DeployedCapacities!$D$7:$D$31, MATCH($C27, DeployedCapacities!$C$7:$C$31, 0)))/10^6</f>
        <v>18.341733633027523</v>
      </c>
      <c r="AE27" s="46">
        <f t="shared" si="8"/>
        <v>18.341733633027523</v>
      </c>
      <c r="AF27" s="46">
        <f t="shared" si="9"/>
        <v>18.341733633027523</v>
      </c>
      <c r="AG27" s="46">
        <f t="shared" si="10"/>
        <v>18.341733633027523</v>
      </c>
      <c r="AH27" s="84">
        <f t="shared" si="11"/>
        <v>13.622546256880735</v>
      </c>
      <c r="AI27" s="46">
        <f t="shared" si="12"/>
        <v>13.629702715596331</v>
      </c>
      <c r="AJ27" s="79">
        <f t="shared" si="13"/>
        <v>13.672653743119268</v>
      </c>
      <c r="AK27" s="84">
        <f t="shared" si="21"/>
        <v>31.964279889908259</v>
      </c>
      <c r="AL27" s="46">
        <f t="shared" si="14"/>
        <v>31.971436348623854</v>
      </c>
      <c r="AM27" s="46">
        <f t="shared" si="15"/>
        <v>32.014387376146793</v>
      </c>
    </row>
    <row r="28" spans="3:39">
      <c r="C28" t="s">
        <v>37</v>
      </c>
      <c r="D28" t="s">
        <v>412</v>
      </c>
      <c r="E28" s="59">
        <f>INDEX(DeployedCapacities!$D$73:$F$97, MATCH($C28, DeployedCapacities!$C$73:$C$97, 0), MATCH(E$10, DeployedCapacities!$D$71:$F$71, 0))</f>
        <v>34946.490000000005</v>
      </c>
      <c r="F28" s="46">
        <f>INDEX(DeployedCapacities!$D$73:$F$97, MATCH($C28, DeployedCapacities!$C$73:$C$97, 0), MATCH(F$10, DeployedCapacities!$D$71:$F$71, 0))</f>
        <v>27416.489999999998</v>
      </c>
      <c r="G28" s="46">
        <f>INDEX(DeployedCapacities!$D$73:$F$97, MATCH($C28, DeployedCapacities!$C$73:$C$97, 0), MATCH(G$10, DeployedCapacities!$D$71:$F$71, 0))</f>
        <v>12877.999999999998</v>
      </c>
      <c r="H28" s="59">
        <f>SUMIFS(TechAssumptions!$J$16:$J$90, TechAssumptions!$C$16:$C$90, $C28, TechAssumptions!$D$16:$D$90, H$9)*1000</f>
        <v>2722154.8623853214</v>
      </c>
      <c r="I28" s="46">
        <f>SUMIFS(TechAssumptions!$K$16:$K$90, TechAssumptions!$C$16:$C$90, $C28, TechAssumptions!$D$16:$D$90, I$9)*1000</f>
        <v>2387488.712450326</v>
      </c>
      <c r="J28" s="46">
        <f>SUMIFS(TechAssumptions!$L$16:$L$90, TechAssumptions!$C$16:$C$90, $C28, TechAssumptions!$D$16:$D$90, J$9)*1000</f>
        <v>3541227.3695233944</v>
      </c>
      <c r="K28" s="46">
        <f>(SUMIFS(TechAssumptions!$J$16:$J$90, TechAssumptions!$C$16:$C$90, $C28, TechAssumptions!$D$16:$D$90, K$9))*1000</f>
        <v>56834.3119266055</v>
      </c>
      <c r="L28" s="13">
        <f>SUMIFS(TechAssumptions!$J$16:$J$90, TechAssumptions!$C$16:$C$90, $C28, TechAssumptions!$D$16:$D$90, L$9)</f>
        <v>1.2275229357798165</v>
      </c>
      <c r="M28" s="13">
        <f>INDEX(TechAssumptions!$G$16:$G$90, MATCH(C28, TechAssumptions!$C$16:$C$90, 0))</f>
        <v>30</v>
      </c>
      <c r="N28" s="14">
        <f>INDEX(TechAssumptions!$H$16:$H$90, MATCH(C28, TechAssumptions!$C$16:$C$90, 0))</f>
        <v>6.3E-2</v>
      </c>
      <c r="O28" s="58">
        <f>SUMIFS(DispatchVols!$I:$I, DispatchVols!$K:$K, $C28, DispatchVols!$C:$C, O$10)</f>
        <v>195245.2</v>
      </c>
      <c r="P28" s="13">
        <f>SUMIFS(DispatchVols!$I:$I, DispatchVols!$K:$K, $C28, DispatchVols!$C:$C, P$10)</f>
        <v>166659.28999999998</v>
      </c>
      <c r="Q28" s="13">
        <f>SUMIFS(DispatchVols!$I:$I, DispatchVols!$K:$K, $C28, DispatchVols!$C:$C, Q$10)</f>
        <v>109653.91</v>
      </c>
      <c r="R28" s="58">
        <f t="shared" si="16"/>
        <v>95129.757676800014</v>
      </c>
      <c r="S28" s="13">
        <f t="shared" si="0"/>
        <v>74631.931563038524</v>
      </c>
      <c r="T28" s="13">
        <f t="shared" si="1"/>
        <v>35055.910317798167</v>
      </c>
      <c r="U28" s="58">
        <f t="shared" si="17"/>
        <v>15854.959612800003</v>
      </c>
      <c r="V28" s="13">
        <f t="shared" si="18"/>
        <v>12438.655260506421</v>
      </c>
      <c r="W28" s="176">
        <f t="shared" si="19"/>
        <v>5842.6517196330278</v>
      </c>
      <c r="X28" s="46">
        <f t="shared" si="3"/>
        <v>7134.3629042006178</v>
      </c>
      <c r="Y28" s="46">
        <f t="shared" si="4"/>
        <v>5597.1054380393325</v>
      </c>
      <c r="Z28" s="79">
        <f t="shared" si="5"/>
        <v>2629.0573239342643</v>
      </c>
      <c r="AA28" s="84">
        <f t="shared" si="20"/>
        <v>1986.1597134000001</v>
      </c>
      <c r="AB28" s="46">
        <f t="shared" si="6"/>
        <v>1558.1973445926603</v>
      </c>
      <c r="AC28" s="79">
        <f t="shared" si="7"/>
        <v>731.91226899082551</v>
      </c>
      <c r="AD28" s="46">
        <f>($K28*INDEX(DeployedCapacities!$D$7:$D$31, MATCH($C28, DeployedCapacities!$C$7:$C$31, 0)))/10^6</f>
        <v>892.44646645871558</v>
      </c>
      <c r="AE28" s="46">
        <f t="shared" si="8"/>
        <v>2878.6061798587157</v>
      </c>
      <c r="AF28" s="46">
        <f t="shared" si="9"/>
        <v>2450.6438110513759</v>
      </c>
      <c r="AG28" s="46">
        <f t="shared" si="10"/>
        <v>1624.3587354495412</v>
      </c>
      <c r="AH28" s="84">
        <f t="shared" si="11"/>
        <v>239.66796110091747</v>
      </c>
      <c r="AI28" s="46">
        <f t="shared" si="12"/>
        <v>204.57810093577982</v>
      </c>
      <c r="AJ28" s="79">
        <f t="shared" si="13"/>
        <v>134.6026895229358</v>
      </c>
      <c r="AK28" s="84">
        <f t="shared" si="21"/>
        <v>10252.637045160251</v>
      </c>
      <c r="AL28" s="46">
        <f t="shared" si="14"/>
        <v>8252.3273500264895</v>
      </c>
      <c r="AM28" s="46">
        <f t="shared" si="15"/>
        <v>4388.0187489067412</v>
      </c>
    </row>
    <row r="29" spans="3:39">
      <c r="C29" t="s">
        <v>38</v>
      </c>
      <c r="D29" t="s">
        <v>412</v>
      </c>
      <c r="E29" s="59">
        <f>INDEX(DeployedCapacities!$D$73:$F$97, MATCH($C29, DeployedCapacities!$C$73:$C$97, 0), MATCH(E$10, DeployedCapacities!$D$71:$F$71, 0))</f>
        <v>13662.150000000003</v>
      </c>
      <c r="F29" s="46">
        <f>INDEX(DeployedCapacities!$D$73:$F$97, MATCH($C29, DeployedCapacities!$C$73:$C$97, 0), MATCH(F$10, DeployedCapacities!$D$71:$F$71, 0))</f>
        <v>13664.290000000003</v>
      </c>
      <c r="G29" s="46">
        <f>INDEX(DeployedCapacities!$D$73:$F$97, MATCH($C29, DeployedCapacities!$C$73:$C$97, 0), MATCH(G$10, DeployedCapacities!$D$71:$F$71, 0))</f>
        <v>6660.7600000000039</v>
      </c>
      <c r="H29" s="59">
        <f>SUMIFS(TechAssumptions!$J$16:$J$90, TechAssumptions!$C$16:$C$90, $C29, TechAssumptions!$D$16:$D$90, H$9)*1000</f>
        <v>2004930.2001180323</v>
      </c>
      <c r="I29" s="46">
        <f>SUMIFS(TechAssumptions!$K$16:$K$90, TechAssumptions!$C$16:$C$90, $C29, TechAssumptions!$D$16:$D$90, I$9)*1000</f>
        <v>1664476.5749017978</v>
      </c>
      <c r="J29" s="46">
        <f>SUMIFS(TechAssumptions!$L$16:$L$90, TechAssumptions!$C$16:$C$90, $C29, TechAssumptions!$D$16:$D$90, J$9)*1000</f>
        <v>2185646.3409678461</v>
      </c>
      <c r="K29" s="46">
        <f>(SUMIFS(TechAssumptions!$J$16:$J$90, TechAssumptions!$C$16:$C$90, $C29, TechAssumptions!$D$16:$D$90, K$9))*1000</f>
        <v>33265.871559633029</v>
      </c>
      <c r="L29" s="13">
        <f>SUMIFS(TechAssumptions!$J$16:$J$90, TechAssumptions!$C$16:$C$90, $C29, TechAssumptions!$D$16:$D$90, L$9)</f>
        <v>7.3651376146788987</v>
      </c>
      <c r="M29" s="13">
        <f>INDEX(TechAssumptions!$G$16:$G$90, MATCH(C29, TechAssumptions!$C$16:$C$90, 0))</f>
        <v>25</v>
      </c>
      <c r="N29" s="14">
        <f>INDEX(TechAssumptions!$H$16:$H$90, MATCH(C29, TechAssumptions!$C$16:$C$90, 0))</f>
        <v>5.1999999999999998E-2</v>
      </c>
      <c r="O29" s="58">
        <f>SUMIFS(DispatchVols!$I:$I, DispatchVols!$K:$K, $C29, DispatchVols!$C:$C, O$10)</f>
        <v>56448.04</v>
      </c>
      <c r="P29" s="13">
        <f>SUMIFS(DispatchVols!$I:$I, DispatchVols!$K:$K, $C29, DispatchVols!$C:$C, P$10)</f>
        <v>57957.919999999998</v>
      </c>
      <c r="Q29" s="13">
        <f>SUMIFS(DispatchVols!$I:$I, DispatchVols!$K:$K, $C29, DispatchVols!$C:$C, Q$10)</f>
        <v>50210.52</v>
      </c>
      <c r="R29" s="58">
        <f t="shared" si="16"/>
        <v>27391.65713354258</v>
      </c>
      <c r="S29" s="13">
        <f t="shared" si="0"/>
        <v>27395.947684170835</v>
      </c>
      <c r="T29" s="13">
        <f t="shared" si="1"/>
        <v>13354.358879738191</v>
      </c>
      <c r="U29" s="58">
        <f t="shared" si="17"/>
        <v>4565.2761889237636</v>
      </c>
      <c r="V29" s="13">
        <f t="shared" si="18"/>
        <v>4565.9912806951388</v>
      </c>
      <c r="W29" s="176">
        <f t="shared" si="19"/>
        <v>2225.726479956365</v>
      </c>
      <c r="X29" s="46">
        <f t="shared" si="3"/>
        <v>1982.6455452859022</v>
      </c>
      <c r="Y29" s="46">
        <f t="shared" si="4"/>
        <v>1982.9561011989113</v>
      </c>
      <c r="Z29" s="79">
        <f t="shared" si="5"/>
        <v>966.60673043543875</v>
      </c>
      <c r="AA29" s="84">
        <f t="shared" si="20"/>
        <v>454.48332712844052</v>
      </c>
      <c r="AB29" s="46">
        <f t="shared" si="6"/>
        <v>454.55451609357812</v>
      </c>
      <c r="AC29" s="79">
        <f t="shared" si="7"/>
        <v>221.57598664954145</v>
      </c>
      <c r="AD29" s="46">
        <f>($K29*INDEX(DeployedCapacities!$D$7:$D$31, MATCH($C29, DeployedCapacities!$C$7:$C$31, 0)))/10^6</f>
        <v>454.55252014128433</v>
      </c>
      <c r="AE29" s="46">
        <f t="shared" si="8"/>
        <v>909.03584726972485</v>
      </c>
      <c r="AF29" s="46">
        <f t="shared" si="9"/>
        <v>909.10703623486245</v>
      </c>
      <c r="AG29" s="46">
        <f t="shared" si="10"/>
        <v>676.12850679082578</v>
      </c>
      <c r="AH29" s="84">
        <f t="shared" si="11"/>
        <v>415.74758267889905</v>
      </c>
      <c r="AI29" s="46">
        <f t="shared" si="12"/>
        <v>426.86805666055039</v>
      </c>
      <c r="AJ29" s="79">
        <f t="shared" si="13"/>
        <v>369.80738950458709</v>
      </c>
      <c r="AK29" s="84">
        <f t="shared" si="21"/>
        <v>3307.4289752345262</v>
      </c>
      <c r="AL29" s="46">
        <f t="shared" si="14"/>
        <v>3318.9311940943239</v>
      </c>
      <c r="AM29" s="46">
        <f t="shared" si="15"/>
        <v>2012.5426267308515</v>
      </c>
    </row>
    <row r="30" spans="3:39">
      <c r="C30" t="s">
        <v>39</v>
      </c>
      <c r="D30" t="s">
        <v>414</v>
      </c>
      <c r="E30" s="59">
        <f>INDEX(DeployedCapacities!$D$73:$F$97, MATCH($C30, DeployedCapacities!$C$73:$C$97, 0), MATCH(E$10, DeployedCapacities!$D$71:$F$71, 0))</f>
        <v>2655.8999999999996</v>
      </c>
      <c r="F30" s="46">
        <f>INDEX(DeployedCapacities!$D$73:$F$97, MATCH($C30, DeployedCapacities!$C$73:$C$97, 0), MATCH(F$10, DeployedCapacities!$D$71:$F$71, 0))</f>
        <v>1371.8999999999996</v>
      </c>
      <c r="G30" s="46">
        <f>INDEX(DeployedCapacities!$D$73:$F$97, MATCH($C30, DeployedCapacities!$C$73:$C$97, 0), MATCH(G$10, DeployedCapacities!$D$71:$F$71, 0))</f>
        <v>0</v>
      </c>
      <c r="H30" s="59">
        <f>SUMIFS(TechAssumptions!$J$16:$J$90, TechAssumptions!$C$16:$C$90, $C30, TechAssumptions!$D$16:$D$90, H$9)*1000</f>
        <v>1461888.8888888892</v>
      </c>
      <c r="I30" s="46">
        <f>SUMIFS(TechAssumptions!$K$16:$K$90, TechAssumptions!$C$16:$C$90, $C30, TechAssumptions!$D$16:$D$90, I$9)*1000</f>
        <v>1461888.8888888892</v>
      </c>
      <c r="J30" s="46">
        <f>SUMIFS(TechAssumptions!$L$16:$L$90, TechAssumptions!$C$16:$C$90, $C30, TechAssumptions!$D$16:$D$90, J$9)*1000</f>
        <v>1461888.8888888892</v>
      </c>
      <c r="K30" s="46">
        <f>(SUMIFS(TechAssumptions!$J$16:$J$90, TechAssumptions!$C$16:$C$90, $C30, TechAssumptions!$D$16:$D$90, K$9))*1000</f>
        <v>15143.032585956289</v>
      </c>
      <c r="L30" s="13">
        <f>SUMIFS(TechAssumptions!$J$16:$J$90, TechAssumptions!$C$16:$C$90, $C30, TechAssumptions!$D$16:$D$90, L$9)</f>
        <v>56.763636363636365</v>
      </c>
      <c r="M30" s="13">
        <f>INDEX(TechAssumptions!$G$16:$G$90, MATCH(C30, TechAssumptions!$C$16:$C$90, 0))</f>
        <v>50</v>
      </c>
      <c r="N30" s="14">
        <f>INDEX(TechAssumptions!$H$16:$H$90, MATCH(C30, TechAssumptions!$C$16:$C$90, 0))</f>
        <v>7.4999999999999997E-2</v>
      </c>
      <c r="O30" s="58">
        <f>SUMIFS(DispatchVols!$I:$I, DispatchVols!$K:$K, $C30, DispatchVols!$C:$C, O$10)</f>
        <v>9121.3700000000008</v>
      </c>
      <c r="P30" s="13">
        <f>SUMIFS(DispatchVols!$I:$I, DispatchVols!$K:$K, $C30, DispatchVols!$C:$C, P$10)</f>
        <v>6464.33</v>
      </c>
      <c r="Q30" s="13">
        <f>SUMIFS(DispatchVols!$I:$I, DispatchVols!$K:$K, $C30, DispatchVols!$C:$C, Q$10)</f>
        <v>1651.79</v>
      </c>
      <c r="R30" s="58">
        <f t="shared" si="16"/>
        <v>3882.6307000000006</v>
      </c>
      <c r="S30" s="13">
        <f t="shared" si="0"/>
        <v>2005.5653666666665</v>
      </c>
      <c r="T30" s="13">
        <f t="shared" si="1"/>
        <v>0</v>
      </c>
      <c r="U30" s="58">
        <f t="shared" si="17"/>
        <v>647.10511666666673</v>
      </c>
      <c r="V30" s="13">
        <f t="shared" si="18"/>
        <v>334.26089444444443</v>
      </c>
      <c r="W30" s="176">
        <f t="shared" si="19"/>
        <v>0</v>
      </c>
      <c r="X30" s="46">
        <f t="shared" si="3"/>
        <v>299.2437060929534</v>
      </c>
      <c r="Y30" s="46">
        <f t="shared" si="4"/>
        <v>154.5737566884757</v>
      </c>
      <c r="Z30" s="79">
        <f t="shared" si="5"/>
        <v>0</v>
      </c>
      <c r="AA30" s="84">
        <f t="shared" si="20"/>
        <v>40.218380245041303</v>
      </c>
      <c r="AB30" s="46">
        <f t="shared" si="6"/>
        <v>20.774726404673427</v>
      </c>
      <c r="AC30" s="79">
        <f t="shared" si="7"/>
        <v>0</v>
      </c>
      <c r="AD30" s="46">
        <f>($K30*INDEX(DeployedCapacities!$D$7:$D$31, MATCH($C30, DeployedCapacities!$C$7:$C$31, 0)))/10^6</f>
        <v>41.552481415864058</v>
      </c>
      <c r="AE30" s="46">
        <f t="shared" si="8"/>
        <v>81.770861660905354</v>
      </c>
      <c r="AF30" s="46">
        <f t="shared" si="9"/>
        <v>62.327207820537481</v>
      </c>
      <c r="AG30" s="46">
        <f t="shared" si="10"/>
        <v>41.552481415864058</v>
      </c>
      <c r="AH30" s="84">
        <f t="shared" si="11"/>
        <v>517.76212981818185</v>
      </c>
      <c r="AI30" s="46">
        <f t="shared" si="12"/>
        <v>366.93887745454549</v>
      </c>
      <c r="AJ30" s="79">
        <f t="shared" si="13"/>
        <v>93.761606909090901</v>
      </c>
      <c r="AK30" s="84">
        <f t="shared" si="21"/>
        <v>898.77669757204058</v>
      </c>
      <c r="AL30" s="46">
        <f t="shared" si="14"/>
        <v>583.83984196355868</v>
      </c>
      <c r="AM30" s="46">
        <f t="shared" si="15"/>
        <v>135.31408832495495</v>
      </c>
    </row>
    <row r="31" spans="3:39">
      <c r="C31" t="s">
        <v>40</v>
      </c>
      <c r="D31" t="s">
        <v>414</v>
      </c>
      <c r="E31" s="59">
        <f>INDEX(DeployedCapacities!$D$73:$F$97, MATCH($C31, DeployedCapacities!$C$73:$C$97, 0), MATCH(E$10, DeployedCapacities!$D$71:$F$71, 0))</f>
        <v>6.4600000000000364</v>
      </c>
      <c r="F31" s="46">
        <f>INDEX(DeployedCapacities!$D$73:$F$97, MATCH($C31, DeployedCapacities!$C$73:$C$97, 0), MATCH(F$10, DeployedCapacities!$D$71:$F$71, 0))</f>
        <v>6.4600000000000364</v>
      </c>
      <c r="G31" s="46">
        <f>INDEX(DeployedCapacities!$D$73:$F$97, MATCH($C31, DeployedCapacities!$C$73:$C$97, 0), MATCH(G$10, DeployedCapacities!$D$71:$F$71, 0))</f>
        <v>6.4600000000000364</v>
      </c>
      <c r="H31" s="59">
        <f>SUMIFS(TechAssumptions!$J$16:$J$90, TechAssumptions!$C$16:$C$90, $C31, TechAssumptions!$D$16:$D$90, H$9)*1000</f>
        <v>4615486.2385321101</v>
      </c>
      <c r="I31" s="46">
        <f>SUMIFS(TechAssumptions!$K$16:$K$90, TechAssumptions!$C$16:$C$90, $C31, TechAssumptions!$D$16:$D$90, I$9)*1000</f>
        <v>4615486.2385321101</v>
      </c>
      <c r="J31" s="46">
        <f>SUMIFS(TechAssumptions!$L$16:$L$90, TechAssumptions!$C$16:$C$90, $C31, TechAssumptions!$D$16:$D$90, J$9)*1000</f>
        <v>4615486.2385321101</v>
      </c>
      <c r="K31" s="46">
        <f>(SUMIFS(TechAssumptions!$J$16:$J$90, TechAssumptions!$C$16:$C$90, $C31, TechAssumptions!$D$16:$D$90, K$9))*1000</f>
        <v>37316.697247706419</v>
      </c>
      <c r="L31" s="13">
        <f>SUMIFS(TechAssumptions!$J$16:$J$90, TechAssumptions!$C$16:$C$90, $C31, TechAssumptions!$D$16:$D$90, L$9)</f>
        <v>8.5926605504587155</v>
      </c>
      <c r="M31" s="13">
        <f>INDEX(TechAssumptions!$G$16:$G$90, MATCH(C31, TechAssumptions!$C$16:$C$90, 0))</f>
        <v>41</v>
      </c>
      <c r="N31" s="14">
        <f>INDEX(TechAssumptions!$H$16:$H$90, MATCH(C31, TechAssumptions!$C$16:$C$90, 0))</f>
        <v>5.3999999999999999E-2</v>
      </c>
      <c r="O31" s="58">
        <f>SUMIFS(DispatchVols!$I:$I, DispatchVols!$K:$K, $C31, DispatchVols!$C:$C, O$10)</f>
        <v>751.12</v>
      </c>
      <c r="P31" s="13">
        <f>SUMIFS(DispatchVols!$I:$I, DispatchVols!$K:$K, $C31, DispatchVols!$C:$C, P$10)</f>
        <v>751.12</v>
      </c>
      <c r="Q31" s="13">
        <f>SUMIFS(DispatchVols!$I:$I, DispatchVols!$K:$K, $C31, DispatchVols!$C:$C, Q$10)</f>
        <v>751.12</v>
      </c>
      <c r="R31" s="58">
        <f t="shared" si="16"/>
        <v>29.816041100917602</v>
      </c>
      <c r="S31" s="13">
        <f t="shared" si="0"/>
        <v>29.816041100917602</v>
      </c>
      <c r="T31" s="13">
        <f t="shared" si="1"/>
        <v>29.816041100917602</v>
      </c>
      <c r="U31" s="58">
        <f t="shared" si="17"/>
        <v>4.9693401834862669</v>
      </c>
      <c r="V31" s="13">
        <f t="shared" si="18"/>
        <v>4.9693401834862669</v>
      </c>
      <c r="W31" s="176">
        <f t="shared" si="19"/>
        <v>4.9693401834862669</v>
      </c>
      <c r="X31" s="46">
        <f t="shared" si="3"/>
        <v>1.8208345960608634</v>
      </c>
      <c r="Y31" s="46">
        <f t="shared" si="4"/>
        <v>1.8208345960608634</v>
      </c>
      <c r="Z31" s="79">
        <f t="shared" si="5"/>
        <v>1.8208345960608634</v>
      </c>
      <c r="AA31" s="84">
        <f t="shared" si="20"/>
        <v>0.24106586422018483</v>
      </c>
      <c r="AB31" s="46">
        <f t="shared" si="6"/>
        <v>0.24106586422018483</v>
      </c>
      <c r="AC31" s="79">
        <f t="shared" si="7"/>
        <v>0.24106586422018483</v>
      </c>
      <c r="AD31" s="46">
        <f>($K31*INDEX(DeployedCapacities!$D$7:$D$31, MATCH($C31, DeployedCapacities!$C$7:$C$31, 0)))/10^6</f>
        <v>50.287981211009168</v>
      </c>
      <c r="AE31" s="46">
        <f t="shared" si="8"/>
        <v>50.52904707522935</v>
      </c>
      <c r="AF31" s="46">
        <f t="shared" si="9"/>
        <v>50.52904707522935</v>
      </c>
      <c r="AG31" s="46">
        <f t="shared" si="10"/>
        <v>50.52904707522935</v>
      </c>
      <c r="AH31" s="84">
        <f t="shared" si="11"/>
        <v>6.4541191926605492</v>
      </c>
      <c r="AI31" s="46">
        <f t="shared" si="12"/>
        <v>6.4541191926605492</v>
      </c>
      <c r="AJ31" s="79">
        <f t="shared" si="13"/>
        <v>6.4541191926605492</v>
      </c>
      <c r="AK31" s="84">
        <f t="shared" si="21"/>
        <v>58.804000863950769</v>
      </c>
      <c r="AL31" s="46">
        <f t="shared" si="14"/>
        <v>58.804000863950769</v>
      </c>
      <c r="AM31" s="46">
        <f t="shared" si="15"/>
        <v>58.804000863950769</v>
      </c>
    </row>
    <row r="32" spans="3:39">
      <c r="C32" t="s">
        <v>41</v>
      </c>
      <c r="D32" t="s">
        <v>414</v>
      </c>
      <c r="E32" s="59">
        <f>INDEX(DeployedCapacities!$D$73:$F$97, MATCH($C32, DeployedCapacities!$C$73:$C$97, 0), MATCH(E$10, DeployedCapacities!$D$71:$F$71, 0))</f>
        <v>23.719999999999914</v>
      </c>
      <c r="F32" s="46">
        <f>INDEX(DeployedCapacities!$D$73:$F$97, MATCH($C32, DeployedCapacities!$C$73:$C$97, 0), MATCH(F$10, DeployedCapacities!$D$71:$F$71, 0))</f>
        <v>23.719999999999914</v>
      </c>
      <c r="G32" s="46">
        <f>INDEX(DeployedCapacities!$D$73:$F$97, MATCH($C32, DeployedCapacities!$C$73:$C$97, 0), MATCH(G$10, DeployedCapacities!$D$71:$F$71, 0))</f>
        <v>6.0999999999999091</v>
      </c>
      <c r="H32" s="59">
        <f>SUMIFS(TechAssumptions!$J$16:$J$90, TechAssumptions!$C$16:$C$90, $C32, TechAssumptions!$D$16:$D$90, H$9)*1000</f>
        <v>3633467.8899082569</v>
      </c>
      <c r="I32" s="46">
        <f>SUMIFS(TechAssumptions!$K$16:$K$90, TechAssumptions!$C$16:$C$90, $C32, TechAssumptions!$D$16:$D$90, I$9)*1000</f>
        <v>1953251.5246327624</v>
      </c>
      <c r="J32" s="46">
        <f>SUMIFS(TechAssumptions!$L$16:$L$90, TechAssumptions!$C$16:$C$90, $C32, TechAssumptions!$D$16:$D$90, J$9)*1000</f>
        <v>3738481.4127379754</v>
      </c>
      <c r="K32" s="46">
        <f>(SUMIFS(TechAssumptions!$J$16:$J$90, TechAssumptions!$C$16:$C$90, $C32, TechAssumptions!$D$16:$D$90, K$9))*1000</f>
        <v>63217.431192660551</v>
      </c>
      <c r="L32" s="13">
        <f>SUMIFS(TechAssumptions!$J$16:$J$90, TechAssumptions!$C$16:$C$90, $C32, TechAssumptions!$D$16:$D$90, L$9)</f>
        <v>4.9100917431192661</v>
      </c>
      <c r="M32" s="13">
        <f>INDEX(TechAssumptions!$G$16:$G$90, MATCH(C32, TechAssumptions!$C$16:$C$90, 0))</f>
        <v>41</v>
      </c>
      <c r="N32" s="14">
        <f>INDEX(TechAssumptions!$H$16:$H$90, MATCH(C32, TechAssumptions!$C$16:$C$90, 0))</f>
        <v>5.3999999999999999E-2</v>
      </c>
      <c r="O32" s="58">
        <f>SUMIFS(DispatchVols!$I:$I, DispatchVols!$K:$K, $C32, DispatchVols!$C:$C, O$10)</f>
        <v>2740.26</v>
      </c>
      <c r="P32" s="13">
        <f>SUMIFS(DispatchVols!$I:$I, DispatchVols!$K:$K, $C32, DispatchVols!$C:$C, P$10)</f>
        <v>2756.76</v>
      </c>
      <c r="Q32" s="13">
        <f>SUMIFS(DispatchVols!$I:$I, DispatchVols!$K:$K, $C32, DispatchVols!$C:$C, Q$10)</f>
        <v>2748.7</v>
      </c>
      <c r="R32" s="58">
        <f t="shared" si="16"/>
        <v>86.18585834862354</v>
      </c>
      <c r="S32" s="13">
        <f t="shared" si="0"/>
        <v>86.18585834862354</v>
      </c>
      <c r="T32" s="13">
        <f t="shared" si="1"/>
        <v>22.164154128440039</v>
      </c>
      <c r="U32" s="58">
        <f t="shared" si="17"/>
        <v>14.364309724770591</v>
      </c>
      <c r="V32" s="13">
        <f t="shared" si="18"/>
        <v>14.364309724770591</v>
      </c>
      <c r="W32" s="176">
        <f t="shared" si="19"/>
        <v>3.69402568807334</v>
      </c>
      <c r="X32" s="46">
        <f t="shared" si="3"/>
        <v>5.263280662956463</v>
      </c>
      <c r="Y32" s="46">
        <f t="shared" si="4"/>
        <v>5.263280662956463</v>
      </c>
      <c r="Z32" s="79">
        <f t="shared" si="5"/>
        <v>1.3535418231043028</v>
      </c>
      <c r="AA32" s="84">
        <f t="shared" si="20"/>
        <v>1.4995174678899028</v>
      </c>
      <c r="AB32" s="46">
        <f t="shared" si="6"/>
        <v>1.4995174678899028</v>
      </c>
      <c r="AC32" s="79">
        <f t="shared" si="7"/>
        <v>0.38562633027522358</v>
      </c>
      <c r="AD32" s="46">
        <f>($K32*INDEX(DeployedCapacities!$D$7:$D$31, MATCH($C32, DeployedCapacities!$C$7:$C$31, 0)))/10^6</f>
        <v>32.84335202752294</v>
      </c>
      <c r="AE32" s="46">
        <f t="shared" si="8"/>
        <v>34.342869495412842</v>
      </c>
      <c r="AF32" s="46">
        <f t="shared" si="9"/>
        <v>34.342869495412842</v>
      </c>
      <c r="AG32" s="46">
        <f t="shared" si="10"/>
        <v>33.228978357798162</v>
      </c>
      <c r="AH32" s="84">
        <f t="shared" si="11"/>
        <v>13.454928000000002</v>
      </c>
      <c r="AI32" s="46">
        <f t="shared" si="12"/>
        <v>13.53594451376147</v>
      </c>
      <c r="AJ32" s="79">
        <f t="shared" si="13"/>
        <v>13.496369174311926</v>
      </c>
      <c r="AK32" s="84">
        <f t="shared" si="21"/>
        <v>53.061078158369305</v>
      </c>
      <c r="AL32" s="46">
        <f t="shared" si="14"/>
        <v>53.142094672130774</v>
      </c>
      <c r="AM32" s="46">
        <f t="shared" si="15"/>
        <v>48.078889355214386</v>
      </c>
    </row>
    <row r="33" spans="3:39">
      <c r="C33" t="s">
        <v>42</v>
      </c>
      <c r="D33" t="s">
        <v>410</v>
      </c>
      <c r="E33" s="59">
        <f>INDEX(DeployedCapacities!$D$73:$F$97, MATCH($C33, DeployedCapacities!$C$73:$C$97, 0), MATCH(E$10, DeployedCapacities!$D$71:$F$71, 0))</f>
        <v>0</v>
      </c>
      <c r="F33" s="46">
        <f>INDEX(DeployedCapacities!$D$73:$F$97, MATCH($C33, DeployedCapacities!$C$73:$C$97, 0), MATCH(F$10, DeployedCapacities!$D$71:$F$71, 0))</f>
        <v>0</v>
      </c>
      <c r="G33" s="46">
        <f>INDEX(DeployedCapacities!$D$73:$F$97, MATCH($C33, DeployedCapacities!$C$73:$C$97, 0), MATCH(G$10, DeployedCapacities!$D$71:$F$71, 0))</f>
        <v>0</v>
      </c>
      <c r="H33" s="59">
        <f>SUMIFS(TechAssumptions!$J$16:$J$90, TechAssumptions!$C$16:$C$90, $C33, TechAssumptions!$D$16:$D$90, H$9)*1000</f>
        <v>619899.08256880729</v>
      </c>
      <c r="I33" s="46">
        <f>SUMIFS(TechAssumptions!$K$16:$K$90, TechAssumptions!$C$16:$C$90, $C33, TechAssumptions!$D$16:$D$90, I$9)*1000</f>
        <v>619899.08256880729</v>
      </c>
      <c r="J33" s="46">
        <f>SUMIFS(TechAssumptions!$L$16:$L$90, TechAssumptions!$C$16:$C$90, $C33, TechAssumptions!$D$16:$D$90, J$9)*1000</f>
        <v>619899.08256880729</v>
      </c>
      <c r="K33" s="46">
        <f>(SUMIFS(TechAssumptions!$J$16:$J$90, TechAssumptions!$C$16:$C$90, $C33, TechAssumptions!$D$16:$D$90, K$9))*1000</f>
        <v>15344.036697247706</v>
      </c>
      <c r="L33" s="13">
        <f>SUMIFS(TechAssumptions!$J$16:$J$90, TechAssumptions!$C$16:$C$90, $C33, TechAssumptions!$D$16:$D$90, L$9)</f>
        <v>0</v>
      </c>
      <c r="M33" s="13">
        <f>INDEX(TechAssumptions!$G$16:$G$90, MATCH(C33, TechAssumptions!$C$16:$C$90, 0))</f>
        <v>15</v>
      </c>
      <c r="N33" s="14">
        <f>INDEX(TechAssumptions!$H$16:$H$90, MATCH(C33, TechAssumptions!$C$16:$C$90, 0))</f>
        <v>7.0999999999999994E-2</v>
      </c>
      <c r="O33" s="58">
        <f>SUMIFS(DispatchVols!$I:$I, DispatchVols!$K:$K, $C33, DispatchVols!$C:$C, O$10)</f>
        <v>0</v>
      </c>
      <c r="P33" s="13">
        <f>SUMIFS(DispatchVols!$I:$I, DispatchVols!$K:$K, $C33, DispatchVols!$C:$C, P$10)</f>
        <v>0</v>
      </c>
      <c r="Q33" s="13">
        <f>SUMIFS(DispatchVols!$I:$I, DispatchVols!$K:$K, $C33, DispatchVols!$C:$C, Q$10)</f>
        <v>0.48</v>
      </c>
      <c r="R33" s="58">
        <f t="shared" si="16"/>
        <v>0</v>
      </c>
      <c r="S33" s="13">
        <f t="shared" si="0"/>
        <v>0</v>
      </c>
      <c r="T33" s="13">
        <f t="shared" si="1"/>
        <v>0</v>
      </c>
      <c r="U33" s="58">
        <f t="shared" si="17"/>
        <v>0</v>
      </c>
      <c r="V33" s="13">
        <f t="shared" si="18"/>
        <v>0</v>
      </c>
      <c r="W33" s="176">
        <f t="shared" si="19"/>
        <v>0</v>
      </c>
      <c r="X33" s="46">
        <f t="shared" si="3"/>
        <v>0</v>
      </c>
      <c r="Y33" s="46">
        <f t="shared" si="4"/>
        <v>0</v>
      </c>
      <c r="Z33" s="79">
        <f t="shared" si="5"/>
        <v>0</v>
      </c>
      <c r="AA33" s="84">
        <f t="shared" si="20"/>
        <v>0</v>
      </c>
      <c r="AB33" s="46">
        <f t="shared" si="6"/>
        <v>0</v>
      </c>
      <c r="AC33" s="79">
        <f t="shared" si="7"/>
        <v>0</v>
      </c>
      <c r="AD33" s="46">
        <f>($K33*INDEX(DeployedCapacities!$D$7:$D$31, MATCH($C33, DeployedCapacities!$C$7:$C$31, 0)))/10^6</f>
        <v>1.6540871559633026</v>
      </c>
      <c r="AE33" s="46">
        <f t="shared" si="8"/>
        <v>1.6540871559633026</v>
      </c>
      <c r="AF33" s="46">
        <f t="shared" si="9"/>
        <v>1.6540871559633026</v>
      </c>
      <c r="AG33" s="46">
        <f t="shared" si="10"/>
        <v>1.6540871559633026</v>
      </c>
      <c r="AH33" s="84">
        <f t="shared" si="11"/>
        <v>0</v>
      </c>
      <c r="AI33" s="46">
        <f t="shared" si="12"/>
        <v>0</v>
      </c>
      <c r="AJ33" s="79">
        <f t="shared" si="13"/>
        <v>0</v>
      </c>
      <c r="AK33" s="84">
        <f t="shared" si="21"/>
        <v>1.6540871559633026</v>
      </c>
      <c r="AL33" s="46">
        <f t="shared" si="14"/>
        <v>1.6540871559633026</v>
      </c>
      <c r="AM33" s="46">
        <f t="shared" si="15"/>
        <v>1.6540871559633026</v>
      </c>
    </row>
    <row r="34" spans="3:39">
      <c r="C34" t="s">
        <v>43</v>
      </c>
      <c r="D34" t="s">
        <v>412</v>
      </c>
      <c r="E34" s="59">
        <f>INDEX(DeployedCapacities!$D$73:$F$97, MATCH($C34, DeployedCapacities!$C$73:$C$97, 0), MATCH(E$10, DeployedCapacities!$D$71:$F$71, 0))</f>
        <v>205.60000000000005</v>
      </c>
      <c r="F34" s="46">
        <f>INDEX(DeployedCapacities!$D$73:$F$97, MATCH($C34, DeployedCapacities!$C$73:$C$97, 0), MATCH(F$10, DeployedCapacities!$D$71:$F$71, 0))</f>
        <v>205.60000000000005</v>
      </c>
      <c r="G34" s="46">
        <f>INDEX(DeployedCapacities!$D$73:$F$97, MATCH($C34, DeployedCapacities!$C$73:$C$97, 0), MATCH(G$10, DeployedCapacities!$D$71:$F$71, 0))</f>
        <v>13.100000000000001</v>
      </c>
      <c r="H34" s="59">
        <f>SUMIFS(TechAssumptions!$J$16:$J$90, TechAssumptions!$C$16:$C$90, $C34, TechAssumptions!$D$16:$D$90, H$9)*1000</f>
        <v>6567247.7064220188</v>
      </c>
      <c r="I34" s="46">
        <f>SUMIFS(TechAssumptions!$K$16:$K$90, TechAssumptions!$C$16:$C$90, $C34, TechAssumptions!$D$16:$D$90, I$9)*1000</f>
        <v>6221603.0902945427</v>
      </c>
      <c r="J34" s="46">
        <f>SUMIFS(TechAssumptions!$L$16:$L$90, TechAssumptions!$C$16:$C$90, $C34, TechAssumptions!$D$16:$D$90, J$9)*1000</f>
        <v>7085714.6306132311</v>
      </c>
      <c r="K34" s="46">
        <f>(SUMIFS(TechAssumptions!$J$16:$J$90, TechAssumptions!$C$16:$C$90, $C34, TechAssumptions!$D$16:$D$90, K$9))*1000</f>
        <v>172344.22018348624</v>
      </c>
      <c r="L34" s="13">
        <f>SUMIFS(TechAssumptions!$J$16:$J$90, TechAssumptions!$C$16:$C$90, $C34, TechAssumptions!$D$16:$D$90, L$9)</f>
        <v>0</v>
      </c>
      <c r="M34" s="13">
        <f>INDEX(TechAssumptions!$G$16:$G$90, MATCH(C34, TechAssumptions!$C$16:$C$90, 0))</f>
        <v>25</v>
      </c>
      <c r="N34" s="14">
        <f>INDEX(TechAssumptions!$H$16:$H$90, MATCH(C34, TechAssumptions!$C$16:$C$90, 0))</f>
        <v>9.4E-2</v>
      </c>
      <c r="O34" s="58">
        <f>SUMIFS(DispatchVols!$I:$I, DispatchVols!$K:$K, $C34, DispatchVols!$C:$C, O$10)</f>
        <v>396.38</v>
      </c>
      <c r="P34" s="13">
        <f>SUMIFS(DispatchVols!$I:$I, DispatchVols!$K:$K, $C34, DispatchVols!$C:$C, P$10)</f>
        <v>408.1</v>
      </c>
      <c r="Q34" s="13">
        <f>SUMIFS(DispatchVols!$I:$I, DispatchVols!$K:$K, $C34, DispatchVols!$C:$C, Q$10)</f>
        <v>103.23</v>
      </c>
      <c r="R34" s="58">
        <f t="shared" si="16"/>
        <v>1350.2261284403673</v>
      </c>
      <c r="S34" s="13">
        <f t="shared" si="0"/>
        <v>1350.2261284403673</v>
      </c>
      <c r="T34" s="13">
        <f t="shared" si="1"/>
        <v>86.030944954128458</v>
      </c>
      <c r="U34" s="58">
        <f t="shared" si="17"/>
        <v>225.03768807339455</v>
      </c>
      <c r="V34" s="13">
        <f t="shared" si="18"/>
        <v>225.03768807339455</v>
      </c>
      <c r="W34" s="176">
        <f t="shared" si="19"/>
        <v>14.338490825688076</v>
      </c>
      <c r="X34" s="46">
        <f t="shared" si="3"/>
        <v>141.94147504804747</v>
      </c>
      <c r="Y34" s="46">
        <f t="shared" si="4"/>
        <v>141.94147504804747</v>
      </c>
      <c r="Z34" s="79">
        <f t="shared" si="5"/>
        <v>9.043936396543879</v>
      </c>
      <c r="AA34" s="84">
        <f t="shared" si="20"/>
        <v>35.433971669724777</v>
      </c>
      <c r="AB34" s="46">
        <f t="shared" si="6"/>
        <v>35.433971669724777</v>
      </c>
      <c r="AC34" s="79">
        <f t="shared" si="7"/>
        <v>2.2577092844036701</v>
      </c>
      <c r="AD34" s="46">
        <f>($K34*INDEX(DeployedCapacities!$D$7:$D$31, MATCH($C34, DeployedCapacities!$C$7:$C$31, 0)))/10^6</f>
        <v>8.4035041761467877</v>
      </c>
      <c r="AE34" s="46">
        <f t="shared" si="8"/>
        <v>43.837475845871566</v>
      </c>
      <c r="AF34" s="46">
        <f t="shared" si="9"/>
        <v>43.837475845871566</v>
      </c>
      <c r="AG34" s="46">
        <f t="shared" si="10"/>
        <v>10.661213460550458</v>
      </c>
      <c r="AH34" s="84">
        <f t="shared" si="11"/>
        <v>0</v>
      </c>
      <c r="AI34" s="46">
        <f t="shared" si="12"/>
        <v>0</v>
      </c>
      <c r="AJ34" s="79">
        <f t="shared" si="13"/>
        <v>0</v>
      </c>
      <c r="AK34" s="84">
        <f t="shared" si="21"/>
        <v>185.77895089391902</v>
      </c>
      <c r="AL34" s="46">
        <f t="shared" si="14"/>
        <v>185.77895089391902</v>
      </c>
      <c r="AM34" s="46">
        <f t="shared" si="15"/>
        <v>19.705149857094337</v>
      </c>
    </row>
    <row r="35" spans="3:39">
      <c r="C35" t="s">
        <v>44</v>
      </c>
      <c r="D35" t="s">
        <v>413</v>
      </c>
      <c r="E35" s="59">
        <f>INDEX(DeployedCapacities!$D$73:$F$97, MATCH($C35, DeployedCapacities!$C$73:$C$97, 0), MATCH(E$10, DeployedCapacities!$D$71:$F$71, 0))</f>
        <v>129.65</v>
      </c>
      <c r="F35" s="46">
        <f>INDEX(DeployedCapacities!$D$73:$F$97, MATCH($C35, DeployedCapacities!$C$73:$C$97, 0), MATCH(F$10, DeployedCapacities!$D$71:$F$71, 0))</f>
        <v>129.65</v>
      </c>
      <c r="G35" s="46">
        <f>INDEX(DeployedCapacities!$D$73:$F$97, MATCH($C35, DeployedCapacities!$C$73:$C$97, 0), MATCH(G$10, DeployedCapacities!$D$71:$F$71, 0))</f>
        <v>0</v>
      </c>
      <c r="H35" s="59">
        <f>SUMIFS(TechAssumptions!$J$16:$J$90, TechAssumptions!$C$16:$C$90, $C35, TechAssumptions!$D$16:$D$90, H$9)*1000</f>
        <v>619899.08256880729</v>
      </c>
      <c r="I35" s="46">
        <f>SUMIFS(TechAssumptions!$K$16:$K$90, TechAssumptions!$C$16:$C$90, $C35, TechAssumptions!$D$16:$D$90, I$9)*1000</f>
        <v>619899.08256880729</v>
      </c>
      <c r="J35" s="46">
        <f>SUMIFS(TechAssumptions!$L$16:$L$90, TechAssumptions!$C$16:$C$90, $C35, TechAssumptions!$D$16:$D$90, J$9)*1000</f>
        <v>619899.08256880729</v>
      </c>
      <c r="K35" s="46">
        <f>(SUMIFS(TechAssumptions!$J$16:$J$90, TechAssumptions!$C$16:$C$90, $C35, TechAssumptions!$D$16:$D$90, K$9))*1000</f>
        <v>15344.036697247706</v>
      </c>
      <c r="L35" s="13">
        <f>SUMIFS(TechAssumptions!$J$16:$J$90, TechAssumptions!$C$16:$C$90, $C35, TechAssumptions!$D$16:$D$90, L$9)</f>
        <v>0</v>
      </c>
      <c r="M35" s="13">
        <f>INDEX(TechAssumptions!$G$16:$G$90, MATCH(C35, TechAssumptions!$C$16:$C$90, 0))</f>
        <v>15</v>
      </c>
      <c r="N35" s="14">
        <f>INDEX(TechAssumptions!$H$16:$H$90, MATCH(C35, TechAssumptions!$C$16:$C$90, 0))</f>
        <v>7.0999999999999994E-2</v>
      </c>
      <c r="O35" s="58">
        <f>SUMIFS(DispatchVols!$I:$I, DispatchVols!$K:$K, $C35, DispatchVols!$C:$C, O$10)</f>
        <v>121.28</v>
      </c>
      <c r="P35" s="13">
        <f>SUMIFS(DispatchVols!$I:$I, DispatchVols!$K:$K, $C35, DispatchVols!$C:$C, P$10)</f>
        <v>72.02</v>
      </c>
      <c r="Q35" s="13">
        <f>SUMIFS(DispatchVols!$I:$I, DispatchVols!$K:$K, $C35, DispatchVols!$C:$C, Q$10)</f>
        <v>0</v>
      </c>
      <c r="R35" s="58">
        <f t="shared" si="16"/>
        <v>80.369916055045877</v>
      </c>
      <c r="S35" s="13">
        <f t="shared" si="0"/>
        <v>80.369916055045877</v>
      </c>
      <c r="T35" s="13">
        <f t="shared" si="1"/>
        <v>0</v>
      </c>
      <c r="U35" s="58">
        <f t="shared" si="17"/>
        <v>13.394986009174312</v>
      </c>
      <c r="V35" s="13">
        <f t="shared" si="18"/>
        <v>13.394986009174312</v>
      </c>
      <c r="W35" s="176">
        <f t="shared" si="19"/>
        <v>0</v>
      </c>
      <c r="X35" s="46">
        <f t="shared" si="3"/>
        <v>8.8800012582043664</v>
      </c>
      <c r="Y35" s="46">
        <f t="shared" si="4"/>
        <v>8.8800012582043664</v>
      </c>
      <c r="Z35" s="79">
        <f t="shared" si="5"/>
        <v>0</v>
      </c>
      <c r="AA35" s="84">
        <f t="shared" si="20"/>
        <v>1.9893543577981652</v>
      </c>
      <c r="AB35" s="46">
        <f t="shared" si="6"/>
        <v>1.9893543577981652</v>
      </c>
      <c r="AC35" s="79">
        <f t="shared" si="7"/>
        <v>0</v>
      </c>
      <c r="AD35" s="46">
        <f>($K35*INDEX(DeployedCapacities!$D$7:$D$31, MATCH($C35, DeployedCapacities!$C$7:$C$31, 0)))/10^6</f>
        <v>0</v>
      </c>
      <c r="AE35" s="46">
        <f t="shared" si="8"/>
        <v>1.9893543577981652</v>
      </c>
      <c r="AF35" s="46">
        <f t="shared" si="9"/>
        <v>1.9893543577981652</v>
      </c>
      <c r="AG35" s="46">
        <f t="shared" si="10"/>
        <v>0</v>
      </c>
      <c r="AH35" s="84">
        <f t="shared" si="11"/>
        <v>0</v>
      </c>
      <c r="AI35" s="46">
        <f t="shared" si="12"/>
        <v>0</v>
      </c>
      <c r="AJ35" s="79">
        <f t="shared" si="13"/>
        <v>0</v>
      </c>
      <c r="AK35" s="84">
        <f t="shared" si="21"/>
        <v>10.869355616002531</v>
      </c>
      <c r="AL35" s="46">
        <f t="shared" si="14"/>
        <v>10.869355616002531</v>
      </c>
      <c r="AM35" s="46">
        <f t="shared" si="15"/>
        <v>0</v>
      </c>
    </row>
    <row r="36" spans="3:39">
      <c r="C36" t="s">
        <v>204</v>
      </c>
      <c r="D36" t="s">
        <v>414</v>
      </c>
      <c r="E36" s="59">
        <f>INDEX(DeployedCapacities!$D$73:$F$97, MATCH($C36, DeployedCapacities!$C$73:$C$97, 0), MATCH(E$10, DeployedCapacities!$D$71:$F$71, 0))</f>
        <v>25255.089999999997</v>
      </c>
      <c r="F36" s="46">
        <f>INDEX(DeployedCapacities!$D$73:$F$97, MATCH($C36, DeployedCapacities!$C$73:$C$97, 0), MATCH(F$10, DeployedCapacities!$D$71:$F$71, 0))</f>
        <v>23255.089999999997</v>
      </c>
      <c r="G36" s="46">
        <f>INDEX(DeployedCapacities!$D$73:$F$97, MATCH($C36, DeployedCapacities!$C$73:$C$97, 0), MATCH(G$10, DeployedCapacities!$D$71:$F$71, 0))</f>
        <v>14736.65</v>
      </c>
      <c r="H36" s="59">
        <f>SUMIFS(TechAssumptions!$J$16:$J$90, TechAssumptions!$C$16:$C$90, $C36, TechAssumptions!$D$16:$D$90, H$9)*1000</f>
        <v>812648.54864385934</v>
      </c>
      <c r="I36" s="46">
        <f>SUMIFS(TechAssumptions!$K$16:$K$90, TechAssumptions!$C$16:$C$90, $C36, TechAssumptions!$D$16:$D$90, I$9)*1000</f>
        <v>812648.54864385934</v>
      </c>
      <c r="J36" s="46">
        <f>SUMIFS(TechAssumptions!$L$16:$L$90, TechAssumptions!$C$16:$C$90, $C36, TechAssumptions!$D$16:$D$90, J$9)*1000</f>
        <v>812648.54864385934</v>
      </c>
      <c r="K36" s="46">
        <f>(SUMIFS(TechAssumptions!$J$16:$J$90, TechAssumptions!$C$16:$C$90, $C36, TechAssumptions!$D$16:$D$90, K$9))*1000</f>
        <v>8274.1014799154327</v>
      </c>
      <c r="L36" s="13">
        <f>SUMIFS(TechAssumptions!$J$16:$J$90, TechAssumptions!$C$16:$C$90, $C36, TechAssumptions!$D$16:$D$90, L$9)</f>
        <v>0</v>
      </c>
      <c r="M36" s="13">
        <f>INDEX(TechAssumptions!$G$16:$G$90, MATCH(C36, TechAssumptions!$C$16:$C$90, 0))</f>
        <v>15</v>
      </c>
      <c r="N36" s="14">
        <f>INDEX(TechAssumptions!$H$16:$H$90, MATCH(C36, TechAssumptions!$C$16:$C$90, 0))</f>
        <v>0.08</v>
      </c>
      <c r="O36" s="58">
        <f>SUMIFS(DispatchVols!$I:$I, DispatchVols!$K:$K, $C36, DispatchVols!$C:$C, O$10)</f>
        <v>0</v>
      </c>
      <c r="P36" s="13">
        <f>SUMIFS(DispatchVols!$I:$I, DispatchVols!$K:$K, $C36, DispatchVols!$C:$C, P$10)</f>
        <v>0</v>
      </c>
      <c r="Q36" s="13">
        <f>SUMIFS(DispatchVols!$I:$I, DispatchVols!$K:$K, $C36, DispatchVols!$C:$C, Q$10)</f>
        <v>0</v>
      </c>
      <c r="R36" s="58">
        <f t="shared" si="16"/>
        <v>20523.512234370042</v>
      </c>
      <c r="S36" s="13">
        <f t="shared" si="0"/>
        <v>18898.215137082327</v>
      </c>
      <c r="T36" s="13">
        <f t="shared" si="1"/>
        <v>11975.717234372531</v>
      </c>
      <c r="U36" s="58">
        <f t="shared" si="17"/>
        <v>3420.5853723950072</v>
      </c>
      <c r="V36" s="13">
        <f t="shared" si="18"/>
        <v>3149.7025228470543</v>
      </c>
      <c r="W36" s="176">
        <f t="shared" si="19"/>
        <v>1995.9528723954218</v>
      </c>
      <c r="X36" s="46">
        <f>(-PMT($N36,$M36,E36*$H36))/10^6</f>
        <v>2397.7525948302919</v>
      </c>
      <c r="Y36" s="46">
        <f t="shared" si="4"/>
        <v>2207.8698745683337</v>
      </c>
      <c r="Z36" s="79">
        <f t="shared" si="5"/>
        <v>1399.1175947741951</v>
      </c>
      <c r="AA36" s="84">
        <f t="shared" si="20"/>
        <v>208.96317754439741</v>
      </c>
      <c r="AB36" s="46">
        <f t="shared" si="6"/>
        <v>192.41497458456655</v>
      </c>
      <c r="AC36" s="79">
        <f t="shared" si="7"/>
        <v>121.93253757399576</v>
      </c>
      <c r="AD36" s="46">
        <f>($K36*INDEX(DeployedCapacities!$D$7:$D$31, MATCH($C36, DeployedCapacities!$C$7:$C$31, 0)))/10^6</f>
        <v>37.94792532241015</v>
      </c>
      <c r="AE36" s="46">
        <f t="shared" si="8"/>
        <v>246.91110286680757</v>
      </c>
      <c r="AF36" s="46">
        <f t="shared" si="9"/>
        <v>230.36289990697671</v>
      </c>
      <c r="AG36" s="46">
        <f t="shared" si="10"/>
        <v>159.8804628964059</v>
      </c>
      <c r="AH36" s="84">
        <f t="shared" si="11"/>
        <v>0</v>
      </c>
      <c r="AI36" s="46">
        <f t="shared" si="12"/>
        <v>0</v>
      </c>
      <c r="AJ36" s="79">
        <f t="shared" si="13"/>
        <v>0</v>
      </c>
      <c r="AK36" s="84">
        <f t="shared" si="21"/>
        <v>2644.6636976970995</v>
      </c>
      <c r="AL36" s="46">
        <f t="shared" si="14"/>
        <v>2438.2327744753106</v>
      </c>
      <c r="AM36" s="46">
        <f t="shared" si="15"/>
        <v>1558.9980576706009</v>
      </c>
    </row>
    <row r="37" spans="3:39">
      <c r="C37" t="s">
        <v>217</v>
      </c>
      <c r="D37" t="s">
        <v>414</v>
      </c>
      <c r="E37" s="59">
        <f>INDEX(DeployedCapacities!$D$73:$F$97, MATCH($C37, DeployedCapacities!$C$73:$C$97, 0), MATCH(E$10, DeployedCapacities!$D$71:$F$71, 0))</f>
        <v>4050</v>
      </c>
      <c r="F37" s="46">
        <f>INDEX(DeployedCapacities!$D$73:$F$97, MATCH($C37, DeployedCapacities!$C$73:$C$97, 0), MATCH(F$10, DeployedCapacities!$D$71:$F$71, 0))</f>
        <v>4050</v>
      </c>
      <c r="G37" s="46">
        <f>INDEX(DeployedCapacities!$D$73:$F$97, MATCH($C37, DeployedCapacities!$C$73:$C$97, 0), MATCH(G$10, DeployedCapacities!$D$71:$F$71, 0))</f>
        <v>3300</v>
      </c>
      <c r="H37" s="59">
        <f>SUMIFS(TechAssumptions!$J$16:$J$90, TechAssumptions!$C$16:$C$90, $C37, TechAssumptions!$D$16:$D$90, H$9)*1000</f>
        <v>1753175.2139346895</v>
      </c>
      <c r="I37" s="46">
        <f>SUMIFS(TechAssumptions!$K$16:$K$90, TechAssumptions!$C$16:$C$90, $C37, TechAssumptions!$D$16:$D$90, I$9)*1000</f>
        <v>1753175.2139346895</v>
      </c>
      <c r="J37" s="46">
        <f>SUMIFS(TechAssumptions!$L$16:$L$90, TechAssumptions!$C$16:$C$90, $C37, TechAssumptions!$D$16:$D$90, J$9)*1000</f>
        <v>1753175.2139346895</v>
      </c>
      <c r="K37" s="46">
        <f>(SUMIFS(TechAssumptions!$J$16:$J$90, TechAssumptions!$C$16:$C$90, $C37, TechAssumptions!$D$16:$D$90, K$9))*1000</f>
        <v>50000</v>
      </c>
      <c r="L37" s="13">
        <f>SUMIFS(TechAssumptions!$J$16:$J$90, TechAssumptions!$C$16:$C$90, $C37, TechAssumptions!$D$16:$D$90, L$9)</f>
        <v>5</v>
      </c>
      <c r="M37" s="13">
        <f>INDEX(TechAssumptions!$G$16:$G$90, MATCH(C37, TechAssumptions!$C$16:$C$90, 0))</f>
        <v>25</v>
      </c>
      <c r="N37" s="14">
        <f>INDEX(TechAssumptions!$H$16:$H$90, MATCH(C37, TechAssumptions!$C$16:$C$90, 0))</f>
        <v>0.09</v>
      </c>
      <c r="O37" s="58">
        <f>SUMIFS(DispatchVols!$I:$I, DispatchVols!$K:$K, $C37, DispatchVols!$C:$C, O$10)</f>
        <v>0</v>
      </c>
      <c r="P37" s="13">
        <f>SUMIFS(DispatchVols!$I:$I, DispatchVols!$K:$K, $C37, DispatchVols!$C:$C, P$10)</f>
        <v>0</v>
      </c>
      <c r="Q37" s="13">
        <f>SUMIFS(DispatchVols!$I:$I, DispatchVols!$K:$K, $C37, DispatchVols!$C:$C, Q$10)</f>
        <v>0</v>
      </c>
      <c r="R37" s="58">
        <f t="shared" si="16"/>
        <v>7100.3596164354922</v>
      </c>
      <c r="S37" s="13">
        <f t="shared" si="0"/>
        <v>7100.3596164354922</v>
      </c>
      <c r="T37" s="13">
        <f t="shared" si="1"/>
        <v>5785.4782059844747</v>
      </c>
      <c r="U37" s="174">
        <f t="shared" si="17"/>
        <v>1183.3932694059154</v>
      </c>
      <c r="V37" s="175">
        <f t="shared" si="18"/>
        <v>1183.3932694059154</v>
      </c>
      <c r="W37" s="177">
        <f t="shared" si="19"/>
        <v>964.24636766407912</v>
      </c>
      <c r="X37" s="46">
        <f t="shared" si="3"/>
        <v>722.86098988278229</v>
      </c>
      <c r="Y37" s="46">
        <f t="shared" si="4"/>
        <v>722.86098988278229</v>
      </c>
      <c r="Z37" s="79">
        <f t="shared" si="5"/>
        <v>588.99784360819297</v>
      </c>
      <c r="AA37" s="84">
        <f t="shared" si="20"/>
        <v>202.5</v>
      </c>
      <c r="AB37" s="46">
        <f t="shared" si="6"/>
        <v>202.5</v>
      </c>
      <c r="AC37" s="79">
        <f t="shared" si="7"/>
        <v>165</v>
      </c>
      <c r="AD37" s="46">
        <f>($K37*INDEX(DeployedCapacities!$D$7:$D$31, MATCH($C37, DeployedCapacities!$C$7:$C$31, 0)))/10^6</f>
        <v>420</v>
      </c>
      <c r="AE37" s="46">
        <f t="shared" si="8"/>
        <v>622.5</v>
      </c>
      <c r="AF37" s="46">
        <f t="shared" si="9"/>
        <v>622.5</v>
      </c>
      <c r="AG37" s="46">
        <f t="shared" si="10"/>
        <v>585</v>
      </c>
      <c r="AH37" s="84">
        <f t="shared" si="11"/>
        <v>0</v>
      </c>
      <c r="AI37" s="46">
        <f t="shared" si="12"/>
        <v>0</v>
      </c>
      <c r="AJ37" s="79">
        <f t="shared" si="13"/>
        <v>0</v>
      </c>
      <c r="AK37" s="84">
        <f t="shared" si="21"/>
        <v>1345.3609898827822</v>
      </c>
      <c r="AL37" s="46">
        <f t="shared" si="14"/>
        <v>1345.3609898827822</v>
      </c>
      <c r="AM37" s="46">
        <f t="shared" si="15"/>
        <v>1173.9978436081929</v>
      </c>
    </row>
    <row r="38" spans="3:39">
      <c r="C38" s="68" t="s">
        <v>117</v>
      </c>
      <c r="D38" s="68"/>
      <c r="E38" s="69">
        <f>SUM(E13:E37)</f>
        <v>121313.58000000002</v>
      </c>
      <c r="F38" s="70">
        <f>SUM(F13:F37)</f>
        <v>113359.72000000002</v>
      </c>
      <c r="G38" s="70">
        <f>SUM(G13:G37)</f>
        <v>53807.473322099999</v>
      </c>
      <c r="H38" s="70">
        <f>SUM(H13:H37)</f>
        <v>80065877.713213041</v>
      </c>
      <c r="I38" s="32"/>
      <c r="J38" s="32"/>
      <c r="K38" s="32"/>
      <c r="L38" s="32"/>
      <c r="M38" s="32"/>
      <c r="N38" s="32"/>
      <c r="O38" s="71"/>
      <c r="P38" s="32"/>
      <c r="Q38" s="32"/>
      <c r="R38" s="70">
        <f>SUM(R13:R37)</f>
        <v>203989.08630637042</v>
      </c>
      <c r="S38" s="70">
        <f>SUM(S13:S37)</f>
        <v>185451.90397010528</v>
      </c>
      <c r="T38" s="70">
        <f t="shared" ref="T38" si="22">SUM(T13:T37)</f>
        <v>91029.160905703218</v>
      </c>
      <c r="U38" s="172">
        <f t="shared" si="17"/>
        <v>33998.181051061736</v>
      </c>
      <c r="V38" s="172">
        <f t="shared" si="18"/>
        <v>30908.650661684213</v>
      </c>
      <c r="W38" s="173">
        <f t="shared" si="19"/>
        <v>15171.526817617203</v>
      </c>
      <c r="X38" s="85">
        <f>SUM(X13:X37)</f>
        <v>16430.597227059941</v>
      </c>
      <c r="Y38" s="70">
        <f t="shared" ref="Y38:AM38" si="23">SUM(Y13:Y37)</f>
        <v>15117.581438187666</v>
      </c>
      <c r="Z38" s="80">
        <f t="shared" si="23"/>
        <v>7778.1421154634718</v>
      </c>
      <c r="AA38" s="85">
        <f t="shared" si="23"/>
        <v>3744.1775860070493</v>
      </c>
      <c r="AB38" s="70">
        <f t="shared" si="23"/>
        <v>3387.6441168363062</v>
      </c>
      <c r="AC38" s="80">
        <f t="shared" si="23"/>
        <v>1728.2965683101402</v>
      </c>
      <c r="AD38" s="70">
        <f>SUM(AD13:AD37)</f>
        <v>4210.9887944479678</v>
      </c>
      <c r="AE38" s="70">
        <f t="shared" ref="AE38:AG38" si="24">SUM(AE13:AE37)</f>
        <v>7955.166380455018</v>
      </c>
      <c r="AF38" s="70">
        <f t="shared" si="24"/>
        <v>7598.632911284275</v>
      </c>
      <c r="AG38" s="70">
        <f t="shared" si="24"/>
        <v>5939.2853627581098</v>
      </c>
      <c r="AH38" s="85">
        <f t="shared" si="23"/>
        <v>1822.2904268418467</v>
      </c>
      <c r="AI38" s="70">
        <f t="shared" si="23"/>
        <v>1721.9491175199626</v>
      </c>
      <c r="AJ38" s="80">
        <f t="shared" si="23"/>
        <v>1391.296340857381</v>
      </c>
      <c r="AK38" s="85">
        <f t="shared" si="23"/>
        <v>26208.054034356799</v>
      </c>
      <c r="AL38" s="70">
        <f t="shared" si="23"/>
        <v>24438.1634669919</v>
      </c>
      <c r="AM38" s="70">
        <f t="shared" si="23"/>
        <v>15108.723819078959</v>
      </c>
    </row>
    <row r="40" spans="3:39">
      <c r="P40" s="16" t="s">
        <v>415</v>
      </c>
      <c r="U40" s="13"/>
      <c r="V40" s="13"/>
      <c r="W40" s="13"/>
      <c r="AE40" s="16"/>
      <c r="AF40" s="16"/>
      <c r="AG40" s="16"/>
      <c r="AH40" s="16"/>
      <c r="AI40" s="16"/>
      <c r="AJ40" s="16"/>
      <c r="AK40" s="50" t="s">
        <v>416</v>
      </c>
      <c r="AL40" s="50"/>
      <c r="AM40" s="50"/>
    </row>
    <row r="41" spans="3:39">
      <c r="O41" s="46"/>
      <c r="P41" s="46"/>
      <c r="AK41" s="52" t="s">
        <v>19</v>
      </c>
      <c r="AL41" s="52" t="s">
        <v>48</v>
      </c>
      <c r="AM41" s="52" t="s">
        <v>49</v>
      </c>
    </row>
    <row r="42" spans="3:39">
      <c r="H42" s="36"/>
      <c r="I42" s="36"/>
      <c r="J42" s="36"/>
      <c r="AK42" s="53" t="s">
        <v>81</v>
      </c>
      <c r="AL42" s="53" t="s">
        <v>81</v>
      </c>
      <c r="AM42" s="53" t="s">
        <v>81</v>
      </c>
    </row>
    <row r="43" spans="3:39">
      <c r="H43" s="36"/>
      <c r="I43" s="36"/>
      <c r="J43" s="36"/>
      <c r="AK43" s="64">
        <f>AK38+INDEX(PlexosVOMs!$H$11:$H$13, MATCH(AK41, PlexosVOMs!$B$11:$B$13, 0))</f>
        <v>31961.354284192777</v>
      </c>
      <c r="AL43" s="65">
        <f>AL38+INDEX(PlexosVOMs!$H$11:$H$13, MATCH(AL41, PlexosVOMs!$B$11:$B$13, 0))</f>
        <v>30639.350110212574</v>
      </c>
      <c r="AM43" s="167">
        <f>AM38+INDEX(PlexosVOMs!$H$11:$H$13, MATCH(AM41, PlexosVOMs!$B$11:$B$13, 0))</f>
        <v>25999.107693383012</v>
      </c>
    </row>
    <row r="44" spans="3:39">
      <c r="H44" s="36"/>
      <c r="I44" s="36"/>
      <c r="J44" s="36"/>
    </row>
    <row r="45" spans="3:39">
      <c r="G45" s="16"/>
      <c r="H45" s="112"/>
      <c r="I45" s="113"/>
      <c r="J45" s="113"/>
      <c r="R45" s="54" t="s">
        <v>397</v>
      </c>
      <c r="S45" s="51"/>
      <c r="T45" s="51"/>
      <c r="X45" s="51"/>
      <c r="Y45" s="51"/>
      <c r="Z45" s="51"/>
      <c r="AK45" s="51"/>
      <c r="AL45" s="51"/>
      <c r="AM45" s="51"/>
    </row>
    <row r="46" spans="3:39">
      <c r="G46" s="16"/>
      <c r="H46" s="112"/>
      <c r="I46" s="113"/>
      <c r="J46" s="113"/>
      <c r="Q46" s="46"/>
      <c r="R46" s="55" t="s">
        <v>417</v>
      </c>
      <c r="S46" s="50"/>
      <c r="T46" s="50"/>
      <c r="X46" s="50" t="s">
        <v>418</v>
      </c>
      <c r="Y46" s="50"/>
      <c r="Z46" s="75"/>
      <c r="AK46" s="86" t="s">
        <v>419</v>
      </c>
      <c r="AL46" s="50"/>
      <c r="AM46" s="50"/>
    </row>
    <row r="47" spans="3:39">
      <c r="G47" s="16"/>
      <c r="H47" s="112"/>
      <c r="I47" s="113"/>
      <c r="J47" s="113"/>
      <c r="R47" s="56" t="s">
        <v>19</v>
      </c>
      <c r="S47" s="52" t="s">
        <v>48</v>
      </c>
      <c r="T47" s="52" t="s">
        <v>49</v>
      </c>
      <c r="X47" s="52" t="s">
        <v>19</v>
      </c>
      <c r="Y47" s="52" t="s">
        <v>48</v>
      </c>
      <c r="Z47" s="76" t="s">
        <v>49</v>
      </c>
      <c r="AK47" s="81" t="s">
        <v>19</v>
      </c>
      <c r="AL47" s="52" t="s">
        <v>48</v>
      </c>
      <c r="AM47" s="52" t="s">
        <v>49</v>
      </c>
    </row>
    <row r="48" spans="3:39">
      <c r="G48" s="16"/>
      <c r="H48" s="112"/>
      <c r="I48" s="113"/>
      <c r="J48" s="113"/>
      <c r="R48" s="57" t="s">
        <v>81</v>
      </c>
      <c r="S48" s="53" t="s">
        <v>81</v>
      </c>
      <c r="T48" s="53" t="s">
        <v>81</v>
      </c>
      <c r="X48" s="53" t="s">
        <v>81</v>
      </c>
      <c r="Y48" s="53" t="s">
        <v>81</v>
      </c>
      <c r="Z48" s="77" t="s">
        <v>81</v>
      </c>
      <c r="AK48" s="82" t="s">
        <v>81</v>
      </c>
      <c r="AL48" s="53" t="s">
        <v>81</v>
      </c>
      <c r="AM48" s="53" t="s">
        <v>81</v>
      </c>
    </row>
    <row r="49" spans="7:39">
      <c r="G49" s="16"/>
      <c r="H49" s="112"/>
      <c r="I49" s="113"/>
      <c r="J49" s="113"/>
      <c r="R49" s="71"/>
      <c r="S49" s="32"/>
      <c r="T49" s="32"/>
      <c r="X49" s="32"/>
      <c r="Y49" s="32"/>
      <c r="Z49" s="110"/>
      <c r="AK49" s="83"/>
      <c r="AL49" s="74"/>
      <c r="AM49" s="74"/>
    </row>
    <row r="50" spans="7:39">
      <c r="G50" s="16"/>
      <c r="H50" s="112"/>
      <c r="I50" s="113"/>
      <c r="J50" s="113"/>
      <c r="Q50" s="16" t="s">
        <v>21</v>
      </c>
      <c r="R50" s="58">
        <f t="shared" ref="R50:R74" si="25">(E13*$I13)/10^6</f>
        <v>0</v>
      </c>
      <c r="S50" s="13">
        <f t="shared" ref="S50:S74" si="26">(F13*$I13)/10^6</f>
        <v>0</v>
      </c>
      <c r="T50" s="13">
        <f t="shared" ref="T50:T74" si="27">(G13*$I13)/10^6</f>
        <v>0</v>
      </c>
      <c r="X50" s="194">
        <f t="shared" ref="X50:X74" si="28">(-PMT($N13,$M13,E13*$I13))/10^6</f>
        <v>0</v>
      </c>
      <c r="Y50" s="194">
        <f t="shared" ref="Y50:Y74" si="29">(-PMT($N13,$M13,F13*$I13))/10^6</f>
        <v>0</v>
      </c>
      <c r="Z50" s="194">
        <f t="shared" ref="Z50:Z74" si="30">(-PMT($N13,$M13,G13*$I13))/10^6</f>
        <v>0</v>
      </c>
      <c r="AK50" s="84">
        <f>X50+AA13+$AD13+AH13</f>
        <v>556.75854709541295</v>
      </c>
      <c r="AL50" s="84">
        <f t="shared" ref="AL50" si="31">Y50+AB13+$AD13+AI13</f>
        <v>530.49044008623866</v>
      </c>
      <c r="AM50" s="84">
        <f>Z50+AC13+$AD13+AJ13</f>
        <v>484.5148083247708</v>
      </c>
    </row>
    <row r="51" spans="7:39">
      <c r="G51" s="16"/>
      <c r="H51" s="112"/>
      <c r="I51" s="113"/>
      <c r="J51" s="113"/>
      <c r="Q51" s="16" t="s">
        <v>24</v>
      </c>
      <c r="R51" s="58">
        <f t="shared" si="25"/>
        <v>9803.3769237832857</v>
      </c>
      <c r="S51" s="13">
        <f t="shared" si="26"/>
        <v>9803.3769237832857</v>
      </c>
      <c r="T51" s="13">
        <f t="shared" si="27"/>
        <v>9803.3769237832857</v>
      </c>
      <c r="X51" s="194">
        <f t="shared" si="28"/>
        <v>983.56799551580889</v>
      </c>
      <c r="Y51" s="194">
        <f t="shared" si="29"/>
        <v>983.56799551580889</v>
      </c>
      <c r="Z51" s="194">
        <f t="shared" si="30"/>
        <v>983.56799551580889</v>
      </c>
      <c r="AK51" s="84">
        <f t="shared" ref="AK51:AK74" si="32">X51+AA14+$AD14+AH14</f>
        <v>1921.6295902413103</v>
      </c>
      <c r="AL51" s="84">
        <f t="shared" ref="AL51:AM66" si="33">Y51+AB14+$AD14+AI14</f>
        <v>1953.8074766049467</v>
      </c>
      <c r="AM51" s="84">
        <f t="shared" si="33"/>
        <v>1926.7923781200984</v>
      </c>
    </row>
    <row r="52" spans="7:39">
      <c r="G52" s="111"/>
      <c r="H52" s="114"/>
      <c r="I52" s="113"/>
      <c r="J52" s="113"/>
      <c r="Q52" s="16" t="s">
        <v>25</v>
      </c>
      <c r="R52" s="58">
        <f t="shared" si="25"/>
        <v>17043.67858671489</v>
      </c>
      <c r="S52" s="13">
        <f t="shared" si="26"/>
        <v>17042.620556369089</v>
      </c>
      <c r="T52" s="13">
        <f t="shared" si="27"/>
        <v>3612.2743051164448</v>
      </c>
      <c r="X52" s="194">
        <f t="shared" si="28"/>
        <v>1040.886548784556</v>
      </c>
      <c r="Y52" s="194">
        <f t="shared" si="29"/>
        <v>1040.8219330650359</v>
      </c>
      <c r="Z52" s="194">
        <f t="shared" si="30"/>
        <v>220.60775879959297</v>
      </c>
      <c r="AK52" s="84">
        <f t="shared" si="32"/>
        <v>1505.9115175918955</v>
      </c>
      <c r="AL52" s="84">
        <f t="shared" si="33"/>
        <v>1505.8272615054029</v>
      </c>
      <c r="AM52" s="84">
        <f t="shared" ref="AM52:AM74" si="34">Z52+AC15+$AD15+AJ15</f>
        <v>436.30366999225356</v>
      </c>
    </row>
    <row r="53" spans="7:39">
      <c r="G53" s="111"/>
      <c r="H53" s="114"/>
      <c r="I53" s="113"/>
      <c r="J53" s="113"/>
      <c r="Q53" s="16" t="s">
        <v>26</v>
      </c>
      <c r="R53" s="58">
        <f t="shared" si="25"/>
        <v>3103.78742062733</v>
      </c>
      <c r="S53" s="13">
        <f t="shared" si="26"/>
        <v>3103.78742062733</v>
      </c>
      <c r="T53" s="13">
        <f t="shared" si="27"/>
        <v>5093.4948246817839</v>
      </c>
      <c r="X53" s="194">
        <f t="shared" si="28"/>
        <v>226.76972546495986</v>
      </c>
      <c r="Y53" s="194">
        <f t="shared" si="29"/>
        <v>226.76972546495986</v>
      </c>
      <c r="Z53" s="194">
        <f t="shared" si="30"/>
        <v>372.14224639676706</v>
      </c>
      <c r="AK53" s="84">
        <f t="shared" si="32"/>
        <v>915.60449769982222</v>
      </c>
      <c r="AL53" s="84">
        <f t="shared" si="33"/>
        <v>914.59263826862957</v>
      </c>
      <c r="AM53" s="84">
        <f t="shared" si="34"/>
        <v>1231.9910384958496</v>
      </c>
    </row>
    <row r="54" spans="7:39">
      <c r="G54" s="111"/>
      <c r="H54" s="114"/>
      <c r="I54" s="113"/>
      <c r="J54" s="113"/>
      <c r="Q54" s="16" t="s">
        <v>216</v>
      </c>
      <c r="R54" s="58">
        <f t="shared" si="25"/>
        <v>5662.6308489006078</v>
      </c>
      <c r="S54" s="13">
        <f t="shared" si="26"/>
        <v>5662.6308489006078</v>
      </c>
      <c r="T54" s="13">
        <f t="shared" si="27"/>
        <v>0</v>
      </c>
      <c r="X54" s="194">
        <f t="shared" si="28"/>
        <v>450.30869987897535</v>
      </c>
      <c r="Y54" s="194">
        <f t="shared" si="29"/>
        <v>450.30869987897535</v>
      </c>
      <c r="Z54" s="194">
        <f t="shared" si="30"/>
        <v>0</v>
      </c>
      <c r="AK54" s="84">
        <f t="shared" si="32"/>
        <v>590.31147884044321</v>
      </c>
      <c r="AL54" s="84">
        <f t="shared" si="33"/>
        <v>590.31147884044321</v>
      </c>
      <c r="AM54" s="84">
        <f t="shared" si="34"/>
        <v>0</v>
      </c>
    </row>
    <row r="55" spans="7:39">
      <c r="G55" s="111"/>
      <c r="H55" s="114"/>
      <c r="I55" s="113"/>
      <c r="J55" s="113"/>
      <c r="Q55" s="16" t="s">
        <v>209</v>
      </c>
      <c r="R55" s="58">
        <f t="shared" si="25"/>
        <v>1710.2101446526865</v>
      </c>
      <c r="S55" s="13">
        <f t="shared" si="26"/>
        <v>1710.2101446526865</v>
      </c>
      <c r="T55" s="13">
        <f t="shared" si="27"/>
        <v>2269.8895696167419</v>
      </c>
      <c r="X55" s="194">
        <f t="shared" si="28"/>
        <v>174.11008242591438</v>
      </c>
      <c r="Y55" s="194">
        <f t="shared" si="29"/>
        <v>174.11008242591438</v>
      </c>
      <c r="Z55" s="194">
        <f t="shared" si="30"/>
        <v>231.08894617389521</v>
      </c>
      <c r="AK55" s="84">
        <f t="shared" si="32"/>
        <v>237.38129876352906</v>
      </c>
      <c r="AL55" s="84">
        <f t="shared" si="33"/>
        <v>237.38129876352906</v>
      </c>
      <c r="AM55" s="84">
        <f t="shared" si="34"/>
        <v>315.06615474722076</v>
      </c>
    </row>
    <row r="56" spans="7:39">
      <c r="G56" s="111"/>
      <c r="H56" s="114"/>
      <c r="I56" s="113"/>
      <c r="J56" s="113"/>
      <c r="Q56" s="16" t="s">
        <v>210</v>
      </c>
      <c r="R56" s="58">
        <f t="shared" si="25"/>
        <v>130.66622294036696</v>
      </c>
      <c r="S56" s="13">
        <f t="shared" si="26"/>
        <v>130.66622294036696</v>
      </c>
      <c r="T56" s="13">
        <f t="shared" si="27"/>
        <v>0</v>
      </c>
      <c r="X56" s="194">
        <f t="shared" si="28"/>
        <v>13.302638226982559</v>
      </c>
      <c r="Y56" s="194">
        <f t="shared" si="29"/>
        <v>13.302638226982559</v>
      </c>
      <c r="Z56" s="194">
        <f t="shared" si="30"/>
        <v>0</v>
      </c>
      <c r="AK56" s="84">
        <f t="shared" si="32"/>
        <v>16.592891931569714</v>
      </c>
      <c r="AL56" s="84">
        <f t="shared" si="33"/>
        <v>16.592891931569714</v>
      </c>
      <c r="AM56" s="84">
        <f t="shared" si="34"/>
        <v>0</v>
      </c>
    </row>
    <row r="57" spans="7:39">
      <c r="G57" s="111"/>
      <c r="H57" s="114"/>
      <c r="I57" s="113"/>
      <c r="J57" s="113"/>
      <c r="Q57" s="16" t="s">
        <v>29</v>
      </c>
      <c r="R57" s="58">
        <f t="shared" si="25"/>
        <v>0</v>
      </c>
      <c r="S57" s="13">
        <f t="shared" si="26"/>
        <v>0</v>
      </c>
      <c r="T57" s="13">
        <f t="shared" si="27"/>
        <v>0</v>
      </c>
      <c r="X57" s="194">
        <f t="shared" si="28"/>
        <v>0</v>
      </c>
      <c r="Y57" s="194">
        <f t="shared" si="29"/>
        <v>0</v>
      </c>
      <c r="Z57" s="194">
        <f t="shared" si="30"/>
        <v>0</v>
      </c>
      <c r="AK57" s="84">
        <f t="shared" si="32"/>
        <v>47.977365688073398</v>
      </c>
      <c r="AL57" s="84">
        <f t="shared" si="33"/>
        <v>47.960425871559636</v>
      </c>
      <c r="AM57" s="84">
        <f t="shared" si="34"/>
        <v>46.794524587155969</v>
      </c>
    </row>
    <row r="58" spans="7:39">
      <c r="G58" s="111"/>
      <c r="H58" s="114"/>
      <c r="I58" s="113"/>
      <c r="J58" s="113"/>
      <c r="Q58" s="16" t="s">
        <v>30</v>
      </c>
      <c r="R58" s="58">
        <f t="shared" si="25"/>
        <v>0</v>
      </c>
      <c r="S58" s="13">
        <f t="shared" si="26"/>
        <v>0</v>
      </c>
      <c r="T58" s="13">
        <f t="shared" si="27"/>
        <v>0</v>
      </c>
      <c r="X58" s="194">
        <f t="shared" si="28"/>
        <v>0</v>
      </c>
      <c r="Y58" s="194">
        <f t="shared" si="29"/>
        <v>0</v>
      </c>
      <c r="Z58" s="194">
        <f t="shared" si="30"/>
        <v>0</v>
      </c>
      <c r="AK58" s="84">
        <f t="shared" si="32"/>
        <v>625.51909501651357</v>
      </c>
      <c r="AL58" s="84">
        <f t="shared" si="33"/>
        <v>626.0990014018347</v>
      </c>
      <c r="AM58" s="84">
        <f t="shared" si="34"/>
        <v>738.5729753834861</v>
      </c>
    </row>
    <row r="59" spans="7:39">
      <c r="G59" s="111"/>
      <c r="H59" s="114"/>
      <c r="I59" s="113"/>
      <c r="J59" s="113"/>
      <c r="Q59" s="16" t="s">
        <v>31</v>
      </c>
      <c r="R59" s="58">
        <f t="shared" si="25"/>
        <v>0</v>
      </c>
      <c r="S59" s="13">
        <f t="shared" si="26"/>
        <v>892.10229357798164</v>
      </c>
      <c r="T59" s="13">
        <f t="shared" si="27"/>
        <v>0</v>
      </c>
      <c r="X59" s="194">
        <f t="shared" si="28"/>
        <v>0</v>
      </c>
      <c r="Y59" s="194">
        <f t="shared" si="29"/>
        <v>90.821589588192509</v>
      </c>
      <c r="Z59" s="194">
        <f t="shared" si="30"/>
        <v>0</v>
      </c>
      <c r="AK59" s="84">
        <f t="shared" si="32"/>
        <v>0</v>
      </c>
      <c r="AL59" s="84">
        <f t="shared" si="33"/>
        <v>125.84667336800902</v>
      </c>
      <c r="AM59" s="84">
        <f t="shared" si="34"/>
        <v>0</v>
      </c>
    </row>
    <row r="60" spans="7:39">
      <c r="G60" s="111"/>
      <c r="H60" s="114"/>
      <c r="I60" s="113"/>
      <c r="J60" s="113"/>
      <c r="Q60" s="16" t="s">
        <v>32</v>
      </c>
      <c r="R60" s="58">
        <f t="shared" si="25"/>
        <v>631.50384842883557</v>
      </c>
      <c r="S60" s="13">
        <f t="shared" si="26"/>
        <v>1263.0076968576711</v>
      </c>
      <c r="T60" s="13">
        <f t="shared" si="27"/>
        <v>0</v>
      </c>
      <c r="X60" s="194">
        <f t="shared" si="28"/>
        <v>66.989453509976144</v>
      </c>
      <c r="Y60" s="194">
        <f t="shared" si="29"/>
        <v>133.97890701995229</v>
      </c>
      <c r="Z60" s="194">
        <f t="shared" si="30"/>
        <v>0</v>
      </c>
      <c r="AK60" s="84">
        <f t="shared" si="32"/>
        <v>125.06984472993918</v>
      </c>
      <c r="AL60" s="84">
        <f t="shared" si="33"/>
        <v>249.99751521218892</v>
      </c>
      <c r="AM60" s="84">
        <f t="shared" si="34"/>
        <v>0</v>
      </c>
    </row>
    <row r="61" spans="7:39">
      <c r="G61" s="111"/>
      <c r="H61" s="114"/>
      <c r="I61" s="113"/>
      <c r="J61" s="113"/>
      <c r="Q61" s="16" t="s">
        <v>33</v>
      </c>
      <c r="R61" s="58">
        <f t="shared" si="25"/>
        <v>0</v>
      </c>
      <c r="S61" s="13">
        <f t="shared" si="26"/>
        <v>3936.435240252998</v>
      </c>
      <c r="T61" s="13">
        <f t="shared" si="27"/>
        <v>0</v>
      </c>
      <c r="X61" s="194">
        <f t="shared" si="28"/>
        <v>0</v>
      </c>
      <c r="Y61" s="194">
        <f t="shared" si="29"/>
        <v>400.75371221933119</v>
      </c>
      <c r="Z61" s="194">
        <f t="shared" si="30"/>
        <v>0</v>
      </c>
      <c r="AK61" s="84">
        <f t="shared" si="32"/>
        <v>0</v>
      </c>
      <c r="AL61" s="84">
        <f t="shared" si="33"/>
        <v>484.06147170875761</v>
      </c>
      <c r="AM61" s="84">
        <f t="shared" si="34"/>
        <v>0</v>
      </c>
    </row>
    <row r="62" spans="7:39">
      <c r="G62" s="111"/>
      <c r="H62" s="114"/>
      <c r="I62" s="113"/>
      <c r="J62" s="113"/>
      <c r="Q62" s="16" t="s">
        <v>34</v>
      </c>
      <c r="R62" s="58">
        <f t="shared" si="25"/>
        <v>1046.6996009174318</v>
      </c>
      <c r="S62" s="13">
        <f t="shared" si="26"/>
        <v>1046.6996009174318</v>
      </c>
      <c r="T62" s="13">
        <f t="shared" si="27"/>
        <v>2378.4226010091747</v>
      </c>
      <c r="X62" s="194">
        <f t="shared" si="28"/>
        <v>115.64891727325939</v>
      </c>
      <c r="Y62" s="194">
        <f t="shared" si="29"/>
        <v>115.64891727325939</v>
      </c>
      <c r="Z62" s="194">
        <f t="shared" si="30"/>
        <v>262.78981895461578</v>
      </c>
      <c r="AK62" s="84">
        <f t="shared" si="32"/>
        <v>177.77845626408509</v>
      </c>
      <c r="AL62" s="84">
        <f t="shared" si="33"/>
        <v>177.77845626408509</v>
      </c>
      <c r="AM62" s="84">
        <f t="shared" si="34"/>
        <v>357.88279854177176</v>
      </c>
    </row>
    <row r="63" spans="7:39">
      <c r="G63" s="111"/>
      <c r="H63" s="114"/>
      <c r="I63" s="113"/>
      <c r="J63" s="113"/>
      <c r="Q63" s="16" t="s">
        <v>35</v>
      </c>
      <c r="R63" s="58">
        <f t="shared" si="25"/>
        <v>803.62570223931516</v>
      </c>
      <c r="S63" s="13">
        <f t="shared" si="26"/>
        <v>803.62570223931516</v>
      </c>
      <c r="T63" s="13">
        <f t="shared" si="27"/>
        <v>648.27798284732876</v>
      </c>
      <c r="X63" s="194">
        <f t="shared" si="28"/>
        <v>69.581899209199292</v>
      </c>
      <c r="Y63" s="194">
        <f t="shared" si="29"/>
        <v>69.581899209199292</v>
      </c>
      <c r="Z63" s="194">
        <f t="shared" si="30"/>
        <v>56.131123153889419</v>
      </c>
      <c r="AK63" s="84">
        <f t="shared" si="32"/>
        <v>101.86035745690572</v>
      </c>
      <c r="AL63" s="84">
        <f t="shared" si="33"/>
        <v>101.86077481470387</v>
      </c>
      <c r="AM63" s="84">
        <f t="shared" si="34"/>
        <v>85.861170135540803</v>
      </c>
    </row>
    <row r="64" spans="7:39">
      <c r="G64" s="111"/>
      <c r="H64" s="114"/>
      <c r="I64" s="113"/>
      <c r="J64" s="113"/>
      <c r="Q64" s="16" t="s">
        <v>36</v>
      </c>
      <c r="R64" s="58">
        <f t="shared" si="25"/>
        <v>0</v>
      </c>
      <c r="S64" s="13">
        <f t="shared" si="26"/>
        <v>0</v>
      </c>
      <c r="T64" s="13">
        <f t="shared" si="27"/>
        <v>0</v>
      </c>
      <c r="X64" s="194">
        <f t="shared" si="28"/>
        <v>0</v>
      </c>
      <c r="Y64" s="194">
        <f t="shared" si="29"/>
        <v>0</v>
      </c>
      <c r="Z64" s="194">
        <f t="shared" si="30"/>
        <v>0</v>
      </c>
      <c r="AK64" s="84">
        <f t="shared" si="32"/>
        <v>31.964279889908259</v>
      </c>
      <c r="AL64" s="84">
        <f t="shared" si="33"/>
        <v>31.971436348623854</v>
      </c>
      <c r="AM64" s="84">
        <f t="shared" si="34"/>
        <v>32.014387376146793</v>
      </c>
    </row>
    <row r="65" spans="7:39">
      <c r="G65" s="111"/>
      <c r="H65" s="114"/>
      <c r="I65" s="113"/>
      <c r="J65" s="113"/>
      <c r="Q65" s="16" t="s">
        <v>37</v>
      </c>
      <c r="R65" s="58">
        <f t="shared" si="25"/>
        <v>83434.350414758213</v>
      </c>
      <c r="S65" s="13">
        <f t="shared" si="26"/>
        <v>65456.560410007231</v>
      </c>
      <c r="T65" s="13">
        <f t="shared" si="27"/>
        <v>30746.079638935294</v>
      </c>
      <c r="X65" s="194">
        <f t="shared" si="28"/>
        <v>6257.2527153645278</v>
      </c>
      <c r="Y65" s="194">
        <f t="shared" si="29"/>
        <v>4908.9881844575621</v>
      </c>
      <c r="Z65" s="194">
        <f t="shared" si="30"/>
        <v>2305.8367369216294</v>
      </c>
      <c r="AK65" s="84">
        <f t="shared" si="32"/>
        <v>9375.5268563241607</v>
      </c>
      <c r="AL65" s="84">
        <f t="shared" si="33"/>
        <v>7564.2100964447181</v>
      </c>
      <c r="AM65" s="84">
        <f t="shared" si="34"/>
        <v>4064.7981618941062</v>
      </c>
    </row>
    <row r="66" spans="7:39">
      <c r="G66" s="111"/>
      <c r="H66" s="114"/>
      <c r="I66" s="113"/>
      <c r="J66" s="113"/>
      <c r="Q66" s="16" t="s">
        <v>38</v>
      </c>
      <c r="R66" s="58">
        <f t="shared" si="25"/>
        <v>22740.328637794602</v>
      </c>
      <c r="S66" s="13">
        <f t="shared" si="26"/>
        <v>22743.890617664889</v>
      </c>
      <c r="T66" s="13">
        <f t="shared" si="27"/>
        <v>11086.678991042905</v>
      </c>
      <c r="X66" s="194">
        <f t="shared" si="28"/>
        <v>1645.9760376034574</v>
      </c>
      <c r="Y66" s="194">
        <f t="shared" si="29"/>
        <v>1646.2338585701771</v>
      </c>
      <c r="Z66" s="194">
        <f t="shared" si="30"/>
        <v>802.46896368636044</v>
      </c>
      <c r="AK66" s="84">
        <f t="shared" si="32"/>
        <v>2970.7594675520813</v>
      </c>
      <c r="AL66" s="84">
        <f t="shared" si="33"/>
        <v>2982.20895146559</v>
      </c>
      <c r="AM66" s="84">
        <f t="shared" si="34"/>
        <v>1848.4048599817731</v>
      </c>
    </row>
    <row r="67" spans="7:39">
      <c r="G67" s="111"/>
      <c r="H67" s="114"/>
      <c r="I67" s="113"/>
      <c r="J67" s="113"/>
      <c r="Q67" s="16" t="s">
        <v>39</v>
      </c>
      <c r="R67" s="58">
        <f t="shared" si="25"/>
        <v>3882.6307000000006</v>
      </c>
      <c r="S67" s="13">
        <f t="shared" si="26"/>
        <v>2005.5653666666665</v>
      </c>
      <c r="T67" s="13">
        <f t="shared" si="27"/>
        <v>0</v>
      </c>
      <c r="X67" s="194">
        <f t="shared" si="28"/>
        <v>299.2437060929534</v>
      </c>
      <c r="Y67" s="194">
        <f t="shared" si="29"/>
        <v>154.5737566884757</v>
      </c>
      <c r="Z67" s="194">
        <f t="shared" si="30"/>
        <v>0</v>
      </c>
      <c r="AK67" s="84">
        <f t="shared" si="32"/>
        <v>898.77669757204058</v>
      </c>
      <c r="AL67" s="84">
        <f t="shared" ref="AL67:AL74" si="35">Y67+AB30+$AD30+AI30</f>
        <v>583.83984196355868</v>
      </c>
      <c r="AM67" s="84">
        <f t="shared" si="34"/>
        <v>135.31408832495495</v>
      </c>
    </row>
    <row r="68" spans="7:39">
      <c r="G68" s="16"/>
      <c r="H68" s="112"/>
      <c r="I68" s="113"/>
      <c r="J68" s="113"/>
      <c r="Q68" s="16" t="s">
        <v>40</v>
      </c>
      <c r="R68" s="58">
        <f t="shared" si="25"/>
        <v>29.816041100917602</v>
      </c>
      <c r="S68" s="13">
        <f t="shared" si="26"/>
        <v>29.816041100917602</v>
      </c>
      <c r="T68" s="13">
        <f t="shared" si="27"/>
        <v>29.816041100917602</v>
      </c>
      <c r="X68" s="194">
        <f t="shared" si="28"/>
        <v>1.8208345960608634</v>
      </c>
      <c r="Y68" s="194">
        <f t="shared" si="29"/>
        <v>1.8208345960608634</v>
      </c>
      <c r="Z68" s="194">
        <f t="shared" si="30"/>
        <v>1.8208345960608634</v>
      </c>
      <c r="AK68" s="84">
        <f t="shared" si="32"/>
        <v>58.804000863950769</v>
      </c>
      <c r="AL68" s="84">
        <f t="shared" si="35"/>
        <v>58.804000863950769</v>
      </c>
      <c r="AM68" s="84">
        <f t="shared" si="34"/>
        <v>58.804000863950769</v>
      </c>
    </row>
    <row r="69" spans="7:39">
      <c r="G69" s="16"/>
      <c r="H69" s="112"/>
      <c r="I69" s="113"/>
      <c r="J69" s="113"/>
      <c r="Q69" s="16" t="s">
        <v>41</v>
      </c>
      <c r="R69" s="58">
        <f t="shared" si="25"/>
        <v>46.331126164288953</v>
      </c>
      <c r="S69" s="13">
        <f t="shared" si="26"/>
        <v>46.331126164288953</v>
      </c>
      <c r="T69" s="13">
        <f t="shared" si="27"/>
        <v>11.914834300259674</v>
      </c>
      <c r="X69" s="194">
        <f t="shared" si="28"/>
        <v>2.8293936511846884</v>
      </c>
      <c r="Y69" s="194">
        <f t="shared" si="29"/>
        <v>2.8293936511846884</v>
      </c>
      <c r="Z69" s="194">
        <f t="shared" si="30"/>
        <v>0.727626529183238</v>
      </c>
      <c r="AK69" s="84">
        <f t="shared" si="32"/>
        <v>50.627191146597532</v>
      </c>
      <c r="AL69" s="84">
        <f t="shared" si="35"/>
        <v>50.708207660359001</v>
      </c>
      <c r="AM69" s="84">
        <f t="shared" si="34"/>
        <v>47.452974061293332</v>
      </c>
    </row>
    <row r="70" spans="7:39">
      <c r="Q70" s="16" t="s">
        <v>42</v>
      </c>
      <c r="R70" s="58">
        <f t="shared" si="25"/>
        <v>0</v>
      </c>
      <c r="S70" s="13">
        <f t="shared" si="26"/>
        <v>0</v>
      </c>
      <c r="T70" s="13">
        <f t="shared" si="27"/>
        <v>0</v>
      </c>
      <c r="X70" s="194">
        <f t="shared" si="28"/>
        <v>0</v>
      </c>
      <c r="Y70" s="194">
        <f t="shared" si="29"/>
        <v>0</v>
      </c>
      <c r="Z70" s="194">
        <f t="shared" si="30"/>
        <v>0</v>
      </c>
      <c r="AK70" s="84">
        <f t="shared" si="32"/>
        <v>1.6540871559633026</v>
      </c>
      <c r="AL70" s="84">
        <f t="shared" si="35"/>
        <v>1.6540871559633026</v>
      </c>
      <c r="AM70" s="84">
        <f t="shared" si="34"/>
        <v>1.6540871559633026</v>
      </c>
    </row>
    <row r="71" spans="7:39">
      <c r="Q71" s="16" t="s">
        <v>43</v>
      </c>
      <c r="R71" s="58">
        <f t="shared" si="25"/>
        <v>1279.1615953645583</v>
      </c>
      <c r="S71" s="13">
        <f t="shared" si="26"/>
        <v>1279.1615953645583</v>
      </c>
      <c r="T71" s="13">
        <f t="shared" si="27"/>
        <v>81.503000482858525</v>
      </c>
      <c r="X71" s="194">
        <f t="shared" si="28"/>
        <v>134.47087109815018</v>
      </c>
      <c r="Y71" s="194">
        <f t="shared" si="29"/>
        <v>134.47087109815018</v>
      </c>
      <c r="Z71" s="194">
        <f t="shared" si="30"/>
        <v>8.5679397440942004</v>
      </c>
      <c r="AK71" s="84">
        <f t="shared" si="32"/>
        <v>178.30834694402174</v>
      </c>
      <c r="AL71" s="84">
        <f t="shared" si="35"/>
        <v>178.30834694402174</v>
      </c>
      <c r="AM71" s="84">
        <f t="shared" si="34"/>
        <v>19.22915320464466</v>
      </c>
    </row>
    <row r="72" spans="7:39">
      <c r="Q72" s="16" t="s">
        <v>44</v>
      </c>
      <c r="R72" s="58">
        <f t="shared" si="25"/>
        <v>80.369916055045877</v>
      </c>
      <c r="S72" s="13">
        <f t="shared" si="26"/>
        <v>80.369916055045877</v>
      </c>
      <c r="T72" s="13">
        <f t="shared" si="27"/>
        <v>0</v>
      </c>
      <c r="X72" s="194">
        <f t="shared" si="28"/>
        <v>8.8800012582043664</v>
      </c>
      <c r="Y72" s="194">
        <f t="shared" si="29"/>
        <v>8.8800012582043664</v>
      </c>
      <c r="Z72" s="194">
        <f t="shared" si="30"/>
        <v>0</v>
      </c>
      <c r="AK72" s="84">
        <f t="shared" si="32"/>
        <v>10.869355616002531</v>
      </c>
      <c r="AL72" s="84">
        <f t="shared" si="35"/>
        <v>10.869355616002531</v>
      </c>
      <c r="AM72" s="84">
        <f t="shared" si="34"/>
        <v>0</v>
      </c>
    </row>
    <row r="73" spans="7:39">
      <c r="Q73" s="16" t="s">
        <v>204</v>
      </c>
      <c r="R73" s="58">
        <f t="shared" si="25"/>
        <v>20523.512234370042</v>
      </c>
      <c r="S73" s="13">
        <f t="shared" si="26"/>
        <v>18898.215137082327</v>
      </c>
      <c r="T73" s="13">
        <f t="shared" si="27"/>
        <v>11975.717234372531</v>
      </c>
      <c r="X73" s="194">
        <f t="shared" si="28"/>
        <v>2397.7525948302919</v>
      </c>
      <c r="Y73" s="194">
        <f t="shared" si="29"/>
        <v>2207.8698745683337</v>
      </c>
      <c r="Z73" s="194">
        <f t="shared" si="30"/>
        <v>1399.1175947741951</v>
      </c>
      <c r="AK73" s="84">
        <f t="shared" si="32"/>
        <v>2644.6636976970995</v>
      </c>
      <c r="AL73" s="84">
        <f t="shared" si="35"/>
        <v>2438.2327744753106</v>
      </c>
      <c r="AM73" s="84">
        <f t="shared" si="34"/>
        <v>1558.9980576706009</v>
      </c>
    </row>
    <row r="74" spans="7:39">
      <c r="Q74" s="16" t="s">
        <v>217</v>
      </c>
      <c r="R74" s="58">
        <f t="shared" si="25"/>
        <v>7100.3596164354922</v>
      </c>
      <c r="S74" s="13">
        <f t="shared" si="26"/>
        <v>7100.3596164354922</v>
      </c>
      <c r="T74" s="13">
        <f t="shared" si="27"/>
        <v>5785.4782059844747</v>
      </c>
      <c r="X74" s="194">
        <f t="shared" si="28"/>
        <v>722.86098988278229</v>
      </c>
      <c r="Y74" s="194">
        <f t="shared" si="29"/>
        <v>722.86098988278229</v>
      </c>
      <c r="Z74" s="194">
        <f t="shared" si="30"/>
        <v>588.99784360819297</v>
      </c>
      <c r="AK74" s="84">
        <f t="shared" si="32"/>
        <v>1345.3609898827822</v>
      </c>
      <c r="AL74" s="84">
        <f t="shared" si="35"/>
        <v>1345.3609898827822</v>
      </c>
      <c r="AM74" s="84">
        <f t="shared" si="34"/>
        <v>1173.9978436081929</v>
      </c>
    </row>
    <row r="75" spans="7:39">
      <c r="R75" s="70">
        <f>SUM(R50:R74)</f>
        <v>179053.03958124793</v>
      </c>
      <c r="S75" s="70">
        <f>SUM(S50:S74)</f>
        <v>163035.43247766016</v>
      </c>
      <c r="T75" s="70">
        <f>SUM(T50:T74)</f>
        <v>83522.924153273983</v>
      </c>
      <c r="X75" s="70">
        <f t="shared" ref="X75:Z75" si="36">SUM(X50:X74)</f>
        <v>14612.253104667247</v>
      </c>
      <c r="Y75" s="70">
        <f t="shared" si="36"/>
        <v>13488.193864658544</v>
      </c>
      <c r="Z75" s="70">
        <f t="shared" si="36"/>
        <v>7233.8654288542857</v>
      </c>
      <c r="AK75" s="85">
        <f t="shared" ref="AK75:AM75" si="37">SUM(AK50:AK74)</f>
        <v>24389.70991196411</v>
      </c>
      <c r="AL75" s="70">
        <f t="shared" si="37"/>
        <v>22808.775893462778</v>
      </c>
      <c r="AM75" s="70">
        <f t="shared" si="37"/>
        <v>14564.447132469772</v>
      </c>
    </row>
    <row r="78" spans="7:39">
      <c r="R78" s="54" t="s">
        <v>397</v>
      </c>
      <c r="S78" s="51"/>
      <c r="T78" s="51"/>
      <c r="X78" s="51"/>
      <c r="Y78" s="51"/>
      <c r="Z78" s="51"/>
      <c r="AK78" s="195"/>
      <c r="AL78" s="196"/>
      <c r="AM78" s="197"/>
    </row>
    <row r="79" spans="7:39">
      <c r="R79" s="55" t="s">
        <v>420</v>
      </c>
      <c r="S79" s="50"/>
      <c r="T79" s="50"/>
      <c r="X79" s="50" t="s">
        <v>421</v>
      </c>
      <c r="Y79" s="50"/>
      <c r="Z79" s="50"/>
      <c r="AK79" s="55" t="s">
        <v>422</v>
      </c>
      <c r="AL79" s="50"/>
      <c r="AM79" s="198"/>
    </row>
    <row r="80" spans="7:39">
      <c r="R80" s="56" t="s">
        <v>19</v>
      </c>
      <c r="S80" s="52" t="s">
        <v>48</v>
      </c>
      <c r="T80" s="52" t="s">
        <v>49</v>
      </c>
      <c r="X80" s="52" t="s">
        <v>19</v>
      </c>
      <c r="Y80" s="52" t="s">
        <v>48</v>
      </c>
      <c r="Z80" s="52" t="s">
        <v>49</v>
      </c>
      <c r="AK80" s="56" t="s">
        <v>19</v>
      </c>
      <c r="AL80" s="52" t="s">
        <v>48</v>
      </c>
      <c r="AM80" s="199" t="s">
        <v>49</v>
      </c>
    </row>
    <row r="81" spans="17:39">
      <c r="R81" s="57" t="s">
        <v>81</v>
      </c>
      <c r="S81" s="53" t="s">
        <v>81</v>
      </c>
      <c r="T81" s="53" t="s">
        <v>81</v>
      </c>
      <c r="X81" s="53" t="s">
        <v>81</v>
      </c>
      <c r="Y81" s="53" t="s">
        <v>81</v>
      </c>
      <c r="Z81" s="53" t="s">
        <v>81</v>
      </c>
      <c r="AK81" s="57" t="s">
        <v>81</v>
      </c>
      <c r="AL81" s="53" t="s">
        <v>81</v>
      </c>
      <c r="AM81" s="203" t="s">
        <v>81</v>
      </c>
    </row>
    <row r="82" spans="17:39">
      <c r="R82" s="71"/>
      <c r="S82" s="32"/>
      <c r="T82" s="110"/>
      <c r="X82" s="73"/>
      <c r="Y82" s="74"/>
      <c r="Z82" s="200"/>
      <c r="AK82" s="73"/>
      <c r="AL82" s="74"/>
      <c r="AM82" s="200"/>
    </row>
    <row r="83" spans="17:39">
      <c r="Q83" s="16" t="s">
        <v>21</v>
      </c>
      <c r="R83" s="58">
        <f t="shared" ref="R83:R107" si="38">(E13*$J13)/10^6</f>
        <v>0</v>
      </c>
      <c r="S83" s="13">
        <f t="shared" ref="S83:S107" si="39">(F13*$J13)/10^6</f>
        <v>0</v>
      </c>
      <c r="T83" s="176">
        <f t="shared" ref="T83:T107" si="40">(G13*$J13)/10^6</f>
        <v>0</v>
      </c>
      <c r="X83" s="58">
        <f t="shared" ref="X83:X107" si="41">(-PMT($N13,$M13,E13*$J13))/10^6</f>
        <v>0</v>
      </c>
      <c r="Y83" s="194">
        <f t="shared" ref="Y83:Y107" si="42">(-PMT($N13,$M13,F13*$J13))/10^6</f>
        <v>0</v>
      </c>
      <c r="Z83" s="201">
        <f t="shared" ref="Z83:Z107" si="43">(-PMT($N13,$M13,G13*$J13))/10^6</f>
        <v>0</v>
      </c>
      <c r="AK83" s="59">
        <f t="shared" ref="AK83:AK107" si="44">X83+AA13+$AD13+AH13</f>
        <v>556.75854709541295</v>
      </c>
      <c r="AL83" s="46">
        <f t="shared" ref="AL83:AL107" si="45">Y83+AB13+$AD13+AI13</f>
        <v>530.49044008623866</v>
      </c>
      <c r="AM83" s="206">
        <f t="shared" ref="AM83:AM107" si="46">Z83+AC13+$AD13+AJ13</f>
        <v>484.5148083247708</v>
      </c>
    </row>
    <row r="84" spans="17:39">
      <c r="Q84" s="16" t="s">
        <v>24</v>
      </c>
      <c r="R84" s="58">
        <f t="shared" si="38"/>
        <v>9803.3769237832857</v>
      </c>
      <c r="S84" s="13">
        <f t="shared" si="39"/>
        <v>9803.3769237832857</v>
      </c>
      <c r="T84" s="176">
        <f t="shared" si="40"/>
        <v>9803.3769237832857</v>
      </c>
      <c r="X84" s="58">
        <f t="shared" si="41"/>
        <v>983.56799551580889</v>
      </c>
      <c r="Y84" s="194">
        <f t="shared" si="42"/>
        <v>983.56799551580889</v>
      </c>
      <c r="Z84" s="201">
        <f t="shared" si="43"/>
        <v>983.56799551580889</v>
      </c>
      <c r="AK84" s="59">
        <f t="shared" si="44"/>
        <v>1921.6295902413103</v>
      </c>
      <c r="AL84" s="46">
        <f t="shared" si="45"/>
        <v>1953.8074766049467</v>
      </c>
      <c r="AM84" s="206">
        <f t="shared" si="46"/>
        <v>1926.7923781200984</v>
      </c>
    </row>
    <row r="85" spans="17:39">
      <c r="Q85" s="16" t="s">
        <v>25</v>
      </c>
      <c r="R85" s="58">
        <f t="shared" si="38"/>
        <v>21561.280139820046</v>
      </c>
      <c r="S85" s="13">
        <f t="shared" si="39"/>
        <v>21559.941667695839</v>
      </c>
      <c r="T85" s="176">
        <f t="shared" si="40"/>
        <v>4569.7446028581535</v>
      </c>
      <c r="X85" s="58">
        <f t="shared" si="41"/>
        <v>1316.7841882214266</v>
      </c>
      <c r="Y85" s="194">
        <f t="shared" si="42"/>
        <v>1316.7024454437203</v>
      </c>
      <c r="Z85" s="201">
        <f t="shared" si="43"/>
        <v>279.08210450550922</v>
      </c>
      <c r="AK85" s="59">
        <f t="shared" si="44"/>
        <v>1781.8091570287661</v>
      </c>
      <c r="AL85" s="46">
        <f t="shared" si="45"/>
        <v>1781.7077738840871</v>
      </c>
      <c r="AM85" s="206">
        <f t="shared" si="46"/>
        <v>494.77801569816978</v>
      </c>
    </row>
    <row r="86" spans="17:39">
      <c r="Q86" s="16" t="s">
        <v>26</v>
      </c>
      <c r="R86" s="58">
        <f t="shared" si="38"/>
        <v>3103.78742062733</v>
      </c>
      <c r="S86" s="13">
        <f t="shared" si="39"/>
        <v>3103.78742062733</v>
      </c>
      <c r="T86" s="176">
        <f t="shared" si="40"/>
        <v>5093.4948246817839</v>
      </c>
      <c r="X86" s="58">
        <f t="shared" si="41"/>
        <v>226.76972546495986</v>
      </c>
      <c r="Y86" s="194">
        <f t="shared" si="42"/>
        <v>226.76972546495986</v>
      </c>
      <c r="Z86" s="201">
        <f t="shared" si="43"/>
        <v>372.14224639676706</v>
      </c>
      <c r="AK86" s="59">
        <f t="shared" si="44"/>
        <v>915.60449769982222</v>
      </c>
      <c r="AL86" s="46">
        <f t="shared" si="45"/>
        <v>914.59263826862957</v>
      </c>
      <c r="AM86" s="206">
        <f t="shared" si="46"/>
        <v>1231.9910384958496</v>
      </c>
    </row>
    <row r="87" spans="17:39">
      <c r="Q87" s="16" t="s">
        <v>216</v>
      </c>
      <c r="R87" s="58">
        <f t="shared" si="38"/>
        <v>11977.306023960607</v>
      </c>
      <c r="S87" s="13">
        <f t="shared" si="39"/>
        <v>11977.306023960607</v>
      </c>
      <c r="T87" s="176">
        <f t="shared" si="40"/>
        <v>0</v>
      </c>
      <c r="X87" s="58">
        <f t="shared" si="41"/>
        <v>952.46984089550142</v>
      </c>
      <c r="Y87" s="194">
        <f t="shared" si="42"/>
        <v>952.46984089550142</v>
      </c>
      <c r="Z87" s="201">
        <f t="shared" si="43"/>
        <v>0</v>
      </c>
      <c r="AK87" s="59">
        <f t="shared" si="44"/>
        <v>1092.4726198569692</v>
      </c>
      <c r="AL87" s="46">
        <f t="shared" si="45"/>
        <v>1092.4726198569692</v>
      </c>
      <c r="AM87" s="206">
        <f t="shared" si="46"/>
        <v>0</v>
      </c>
    </row>
    <row r="88" spans="17:39">
      <c r="Q88" s="16" t="s">
        <v>209</v>
      </c>
      <c r="R88" s="58">
        <f t="shared" si="38"/>
        <v>1710.2101446526865</v>
      </c>
      <c r="S88" s="13">
        <f t="shared" si="39"/>
        <v>1710.2101446526865</v>
      </c>
      <c r="T88" s="176">
        <f t="shared" si="40"/>
        <v>2269.8895696167419</v>
      </c>
      <c r="X88" s="58">
        <f t="shared" si="41"/>
        <v>174.11008242591438</v>
      </c>
      <c r="Y88" s="194">
        <f t="shared" si="42"/>
        <v>174.11008242591438</v>
      </c>
      <c r="Z88" s="201">
        <f t="shared" si="43"/>
        <v>231.08894617389521</v>
      </c>
      <c r="AK88" s="59">
        <f t="shared" si="44"/>
        <v>237.38129876352906</v>
      </c>
      <c r="AL88" s="46">
        <f t="shared" si="45"/>
        <v>237.38129876352906</v>
      </c>
      <c r="AM88" s="206">
        <f t="shared" si="46"/>
        <v>315.06615474722076</v>
      </c>
    </row>
    <row r="89" spans="17:39">
      <c r="Q89" s="16" t="s">
        <v>210</v>
      </c>
      <c r="R89" s="58">
        <f t="shared" si="38"/>
        <v>130.66622294036696</v>
      </c>
      <c r="S89" s="13">
        <f t="shared" si="39"/>
        <v>130.66622294036696</v>
      </c>
      <c r="T89" s="176">
        <f t="shared" si="40"/>
        <v>0</v>
      </c>
      <c r="X89" s="58">
        <f t="shared" si="41"/>
        <v>13.302638226982559</v>
      </c>
      <c r="Y89" s="194">
        <f t="shared" si="42"/>
        <v>13.302638226982559</v>
      </c>
      <c r="Z89" s="201">
        <f t="shared" si="43"/>
        <v>0</v>
      </c>
      <c r="AK89" s="59">
        <f t="shared" si="44"/>
        <v>16.592891931569714</v>
      </c>
      <c r="AL89" s="46">
        <f t="shared" si="45"/>
        <v>16.592891931569714</v>
      </c>
      <c r="AM89" s="206">
        <f t="shared" si="46"/>
        <v>0</v>
      </c>
    </row>
    <row r="90" spans="17:39">
      <c r="Q90" s="16" t="s">
        <v>29</v>
      </c>
      <c r="R90" s="58">
        <f t="shared" si="38"/>
        <v>0</v>
      </c>
      <c r="S90" s="13">
        <f t="shared" si="39"/>
        <v>0</v>
      </c>
      <c r="T90" s="176">
        <f t="shared" si="40"/>
        <v>0</v>
      </c>
      <c r="X90" s="58">
        <f t="shared" si="41"/>
        <v>0</v>
      </c>
      <c r="Y90" s="194">
        <f t="shared" si="42"/>
        <v>0</v>
      </c>
      <c r="Z90" s="201">
        <f t="shared" si="43"/>
        <v>0</v>
      </c>
      <c r="AK90" s="59">
        <f t="shared" si="44"/>
        <v>47.977365688073398</v>
      </c>
      <c r="AL90" s="46">
        <f t="shared" si="45"/>
        <v>47.960425871559636</v>
      </c>
      <c r="AM90" s="206">
        <f t="shared" si="46"/>
        <v>46.794524587155969</v>
      </c>
    </row>
    <row r="91" spans="17:39">
      <c r="Q91" s="16" t="s">
        <v>30</v>
      </c>
      <c r="R91" s="58">
        <f t="shared" si="38"/>
        <v>0</v>
      </c>
      <c r="S91" s="13">
        <f t="shared" si="39"/>
        <v>0</v>
      </c>
      <c r="T91" s="176">
        <f t="shared" si="40"/>
        <v>0</v>
      </c>
      <c r="X91" s="58">
        <f t="shared" si="41"/>
        <v>0</v>
      </c>
      <c r="Y91" s="194">
        <f t="shared" si="42"/>
        <v>0</v>
      </c>
      <c r="Z91" s="201">
        <f t="shared" si="43"/>
        <v>0</v>
      </c>
      <c r="AK91" s="59">
        <f t="shared" si="44"/>
        <v>625.51909501651357</v>
      </c>
      <c r="AL91" s="46">
        <f t="shared" si="45"/>
        <v>626.0990014018347</v>
      </c>
      <c r="AM91" s="206">
        <f t="shared" si="46"/>
        <v>738.5729753834861</v>
      </c>
    </row>
    <row r="92" spans="17:39">
      <c r="Q92" s="16" t="s">
        <v>31</v>
      </c>
      <c r="R92" s="58">
        <f t="shared" si="38"/>
        <v>0</v>
      </c>
      <c r="S92" s="13">
        <f t="shared" si="39"/>
        <v>892.10229357798164</v>
      </c>
      <c r="T92" s="176">
        <f t="shared" si="40"/>
        <v>0</v>
      </c>
      <c r="X92" s="58">
        <f t="shared" si="41"/>
        <v>0</v>
      </c>
      <c r="Y92" s="194">
        <f t="shared" si="42"/>
        <v>90.821589588192509</v>
      </c>
      <c r="Z92" s="201">
        <f t="shared" si="43"/>
        <v>0</v>
      </c>
      <c r="AK92" s="59">
        <f t="shared" si="44"/>
        <v>0</v>
      </c>
      <c r="AL92" s="46">
        <f t="shared" si="45"/>
        <v>125.84667336800902</v>
      </c>
      <c r="AM92" s="206">
        <f t="shared" si="46"/>
        <v>0</v>
      </c>
    </row>
    <row r="93" spans="17:39">
      <c r="Q93" s="16" t="s">
        <v>32</v>
      </c>
      <c r="R93" s="58">
        <f t="shared" si="38"/>
        <v>631.50384842883557</v>
      </c>
      <c r="S93" s="13">
        <f t="shared" si="39"/>
        <v>1263.0076968576711</v>
      </c>
      <c r="T93" s="176">
        <f t="shared" si="40"/>
        <v>0</v>
      </c>
      <c r="X93" s="58">
        <f t="shared" si="41"/>
        <v>66.989453509976144</v>
      </c>
      <c r="Y93" s="194">
        <f t="shared" si="42"/>
        <v>133.97890701995229</v>
      </c>
      <c r="Z93" s="201">
        <f t="shared" si="43"/>
        <v>0</v>
      </c>
      <c r="AK93" s="59">
        <f t="shared" si="44"/>
        <v>125.06984472993918</v>
      </c>
      <c r="AL93" s="46">
        <f t="shared" si="45"/>
        <v>249.99751521218892</v>
      </c>
      <c r="AM93" s="206">
        <f t="shared" si="46"/>
        <v>0</v>
      </c>
    </row>
    <row r="94" spans="17:39">
      <c r="Q94" s="16" t="s">
        <v>33</v>
      </c>
      <c r="R94" s="58">
        <f t="shared" si="38"/>
        <v>0</v>
      </c>
      <c r="S94" s="13">
        <f t="shared" si="39"/>
        <v>3936.435240252998</v>
      </c>
      <c r="T94" s="176">
        <f t="shared" si="40"/>
        <v>0</v>
      </c>
      <c r="X94" s="58">
        <f t="shared" si="41"/>
        <v>0</v>
      </c>
      <c r="Y94" s="194">
        <f t="shared" si="42"/>
        <v>400.75371221933119</v>
      </c>
      <c r="Z94" s="201">
        <f t="shared" si="43"/>
        <v>0</v>
      </c>
      <c r="AK94" s="59">
        <f t="shared" si="44"/>
        <v>0</v>
      </c>
      <c r="AL94" s="46">
        <f t="shared" si="45"/>
        <v>484.06147170875761</v>
      </c>
      <c r="AM94" s="206">
        <f t="shared" si="46"/>
        <v>0</v>
      </c>
    </row>
    <row r="95" spans="17:39">
      <c r="Q95" s="16" t="s">
        <v>34</v>
      </c>
      <c r="R95" s="58">
        <f t="shared" si="38"/>
        <v>1046.6996009174318</v>
      </c>
      <c r="S95" s="13">
        <f t="shared" si="39"/>
        <v>1046.6996009174318</v>
      </c>
      <c r="T95" s="176">
        <f t="shared" si="40"/>
        <v>2378.4226010091747</v>
      </c>
      <c r="X95" s="58">
        <f t="shared" si="41"/>
        <v>115.64891727325939</v>
      </c>
      <c r="Y95" s="194">
        <f t="shared" si="42"/>
        <v>115.64891727325939</v>
      </c>
      <c r="Z95" s="201">
        <f t="shared" si="43"/>
        <v>262.78981895461578</v>
      </c>
      <c r="AK95" s="59">
        <f t="shared" si="44"/>
        <v>177.77845626408509</v>
      </c>
      <c r="AL95" s="46">
        <f t="shared" si="45"/>
        <v>177.77845626408509</v>
      </c>
      <c r="AM95" s="206">
        <f t="shared" si="46"/>
        <v>357.88279854177176</v>
      </c>
    </row>
    <row r="96" spans="17:39">
      <c r="Q96" s="16" t="s">
        <v>35</v>
      </c>
      <c r="R96" s="58">
        <f t="shared" si="38"/>
        <v>803.62570223931516</v>
      </c>
      <c r="S96" s="13">
        <f t="shared" si="39"/>
        <v>803.62570223931516</v>
      </c>
      <c r="T96" s="176">
        <f t="shared" si="40"/>
        <v>648.27798284732876</v>
      </c>
      <c r="X96" s="58">
        <f t="shared" si="41"/>
        <v>69.581899209199292</v>
      </c>
      <c r="Y96" s="194">
        <f t="shared" si="42"/>
        <v>69.581899209199292</v>
      </c>
      <c r="Z96" s="201">
        <f t="shared" si="43"/>
        <v>56.131123153889419</v>
      </c>
      <c r="AK96" s="59">
        <f t="shared" si="44"/>
        <v>101.86035745690572</v>
      </c>
      <c r="AL96" s="46">
        <f t="shared" si="45"/>
        <v>101.86077481470387</v>
      </c>
      <c r="AM96" s="206">
        <f t="shared" si="46"/>
        <v>85.861170135540803</v>
      </c>
    </row>
    <row r="97" spans="17:39">
      <c r="Q97" s="16" t="s">
        <v>36</v>
      </c>
      <c r="R97" s="58">
        <f t="shared" si="38"/>
        <v>0</v>
      </c>
      <c r="S97" s="13">
        <f t="shared" si="39"/>
        <v>0</v>
      </c>
      <c r="T97" s="176">
        <f t="shared" si="40"/>
        <v>0</v>
      </c>
      <c r="X97" s="58">
        <f t="shared" si="41"/>
        <v>0</v>
      </c>
      <c r="Y97" s="194">
        <f t="shared" si="42"/>
        <v>0</v>
      </c>
      <c r="Z97" s="201">
        <f t="shared" si="43"/>
        <v>0</v>
      </c>
      <c r="AK97" s="59">
        <f t="shared" si="44"/>
        <v>31.964279889908259</v>
      </c>
      <c r="AL97" s="46">
        <f t="shared" si="45"/>
        <v>31.971436348623854</v>
      </c>
      <c r="AM97" s="206">
        <f t="shared" si="46"/>
        <v>32.014387376146793</v>
      </c>
    </row>
    <row r="98" spans="17:39">
      <c r="Q98" s="16" t="s">
        <v>37</v>
      </c>
      <c r="R98" s="58">
        <f t="shared" si="38"/>
        <v>123753.46685677562</v>
      </c>
      <c r="S98" s="13">
        <f t="shared" si="39"/>
        <v>97088.024764264439</v>
      </c>
      <c r="T98" s="176">
        <f t="shared" si="40"/>
        <v>45603.926064722269</v>
      </c>
      <c r="X98" s="58">
        <f t="shared" si="41"/>
        <v>9281.0300874394034</v>
      </c>
      <c r="Y98" s="194">
        <f t="shared" si="42"/>
        <v>7281.2253414286097</v>
      </c>
      <c r="Z98" s="201">
        <f t="shared" si="43"/>
        <v>3420.1175988216446</v>
      </c>
      <c r="AK98" s="59">
        <f t="shared" si="44"/>
        <v>12399.304228399036</v>
      </c>
      <c r="AL98" s="46">
        <f t="shared" si="45"/>
        <v>9936.4472534157649</v>
      </c>
      <c r="AM98" s="206">
        <f t="shared" si="46"/>
        <v>5179.0790237941219</v>
      </c>
    </row>
    <row r="99" spans="17:39">
      <c r="Q99" s="16" t="s">
        <v>38</v>
      </c>
      <c r="R99" s="58">
        <f t="shared" si="38"/>
        <v>29860.628157253865</v>
      </c>
      <c r="S99" s="13">
        <f t="shared" si="39"/>
        <v>29865.305440423534</v>
      </c>
      <c r="T99" s="176">
        <f t="shared" si="40"/>
        <v>14558.065722064999</v>
      </c>
      <c r="X99" s="58">
        <f t="shared" si="41"/>
        <v>2161.3530392405796</v>
      </c>
      <c r="Y99" s="194">
        <f t="shared" si="42"/>
        <v>2161.6915873830003</v>
      </c>
      <c r="Z99" s="201">
        <f t="shared" si="43"/>
        <v>1053.7326752855215</v>
      </c>
      <c r="AK99" s="59">
        <f t="shared" si="44"/>
        <v>3486.1364691892036</v>
      </c>
      <c r="AL99" s="46">
        <f t="shared" si="45"/>
        <v>3497.666680278413</v>
      </c>
      <c r="AM99" s="206">
        <f t="shared" si="46"/>
        <v>2099.6685715809344</v>
      </c>
    </row>
    <row r="100" spans="17:39">
      <c r="Q100" s="16" t="s">
        <v>39</v>
      </c>
      <c r="R100" s="58">
        <f t="shared" si="38"/>
        <v>3882.6307000000006</v>
      </c>
      <c r="S100" s="13">
        <f t="shared" si="39"/>
        <v>2005.5653666666665</v>
      </c>
      <c r="T100" s="176">
        <f t="shared" si="40"/>
        <v>0</v>
      </c>
      <c r="X100" s="58">
        <f t="shared" si="41"/>
        <v>299.2437060929534</v>
      </c>
      <c r="Y100" s="194">
        <f t="shared" si="42"/>
        <v>154.5737566884757</v>
      </c>
      <c r="Z100" s="201">
        <f t="shared" si="43"/>
        <v>0</v>
      </c>
      <c r="AK100" s="59">
        <f t="shared" si="44"/>
        <v>898.77669757204058</v>
      </c>
      <c r="AL100" s="46">
        <f t="shared" si="45"/>
        <v>583.83984196355868</v>
      </c>
      <c r="AM100" s="206">
        <f t="shared" si="46"/>
        <v>135.31408832495495</v>
      </c>
    </row>
    <row r="101" spans="17:39">
      <c r="Q101" s="16" t="s">
        <v>40</v>
      </c>
      <c r="R101" s="58">
        <f t="shared" si="38"/>
        <v>29.816041100917602</v>
      </c>
      <c r="S101" s="13">
        <f t="shared" si="39"/>
        <v>29.816041100917602</v>
      </c>
      <c r="T101" s="176">
        <f t="shared" si="40"/>
        <v>29.816041100917602</v>
      </c>
      <c r="X101" s="58">
        <f t="shared" si="41"/>
        <v>1.8208345960608634</v>
      </c>
      <c r="Y101" s="194">
        <f t="shared" si="42"/>
        <v>1.8208345960608634</v>
      </c>
      <c r="Z101" s="201">
        <f t="shared" si="43"/>
        <v>1.8208345960608634</v>
      </c>
      <c r="AK101" s="59">
        <f t="shared" si="44"/>
        <v>58.804000863950769</v>
      </c>
      <c r="AL101" s="46">
        <f t="shared" si="45"/>
        <v>58.804000863950769</v>
      </c>
      <c r="AM101" s="206">
        <f t="shared" si="46"/>
        <v>58.804000863950769</v>
      </c>
    </row>
    <row r="102" spans="17:39">
      <c r="Q102" s="16" t="s">
        <v>41</v>
      </c>
      <c r="R102" s="58">
        <f t="shared" si="38"/>
        <v>88.676779110144452</v>
      </c>
      <c r="S102" s="13">
        <f t="shared" si="39"/>
        <v>88.676779110144452</v>
      </c>
      <c r="T102" s="176">
        <f t="shared" si="40"/>
        <v>22.804736617701312</v>
      </c>
      <c r="X102" s="58">
        <f t="shared" si="41"/>
        <v>5.4153986011921997</v>
      </c>
      <c r="Y102" s="194">
        <f t="shared" si="42"/>
        <v>5.4153986011921997</v>
      </c>
      <c r="Z102" s="201">
        <f t="shared" si="43"/>
        <v>1.3926615289743696</v>
      </c>
      <c r="AK102" s="59">
        <f t="shared" si="44"/>
        <v>53.213196096605046</v>
      </c>
      <c r="AL102" s="46">
        <f t="shared" si="45"/>
        <v>53.294212610366515</v>
      </c>
      <c r="AM102" s="206">
        <f t="shared" si="46"/>
        <v>48.118009061084464</v>
      </c>
    </row>
    <row r="103" spans="17:39">
      <c r="Q103" s="16" t="s">
        <v>42</v>
      </c>
      <c r="R103" s="58">
        <f t="shared" si="38"/>
        <v>0</v>
      </c>
      <c r="S103" s="13">
        <f t="shared" si="39"/>
        <v>0</v>
      </c>
      <c r="T103" s="176">
        <f t="shared" si="40"/>
        <v>0</v>
      </c>
      <c r="X103" s="58">
        <f t="shared" si="41"/>
        <v>0</v>
      </c>
      <c r="Y103" s="194">
        <f t="shared" si="42"/>
        <v>0</v>
      </c>
      <c r="Z103" s="201">
        <f t="shared" si="43"/>
        <v>0</v>
      </c>
      <c r="AK103" s="59">
        <f t="shared" si="44"/>
        <v>1.6540871559633026</v>
      </c>
      <c r="AL103" s="46">
        <f t="shared" si="45"/>
        <v>1.6540871559633026</v>
      </c>
      <c r="AM103" s="206">
        <f t="shared" si="46"/>
        <v>1.6540871559633026</v>
      </c>
    </row>
    <row r="104" spans="17:39">
      <c r="Q104" s="16" t="s">
        <v>43</v>
      </c>
      <c r="R104" s="58">
        <f t="shared" si="38"/>
        <v>1456.8229280540806</v>
      </c>
      <c r="S104" s="13">
        <f t="shared" si="39"/>
        <v>1456.8229280540806</v>
      </c>
      <c r="T104" s="176">
        <f t="shared" si="40"/>
        <v>92.822861661033329</v>
      </c>
      <c r="X104" s="58">
        <f t="shared" si="41"/>
        <v>153.14738097289333</v>
      </c>
      <c r="Y104" s="194">
        <f t="shared" si="42"/>
        <v>153.14738097289333</v>
      </c>
      <c r="Z104" s="201">
        <f t="shared" si="43"/>
        <v>9.7579313752183978</v>
      </c>
      <c r="AK104" s="59">
        <f t="shared" si="44"/>
        <v>196.98485681876488</v>
      </c>
      <c r="AL104" s="46">
        <f t="shared" si="45"/>
        <v>196.98485681876488</v>
      </c>
      <c r="AM104" s="206">
        <f t="shared" si="46"/>
        <v>20.419144835768854</v>
      </c>
    </row>
    <row r="105" spans="17:39">
      <c r="Q105" s="16" t="s">
        <v>44</v>
      </c>
      <c r="R105" s="58">
        <f t="shared" si="38"/>
        <v>80.369916055045877</v>
      </c>
      <c r="S105" s="13">
        <f t="shared" si="39"/>
        <v>80.369916055045877</v>
      </c>
      <c r="T105" s="176">
        <f t="shared" si="40"/>
        <v>0</v>
      </c>
      <c r="X105" s="58">
        <f t="shared" si="41"/>
        <v>8.8800012582043664</v>
      </c>
      <c r="Y105" s="194">
        <f t="shared" si="42"/>
        <v>8.8800012582043664</v>
      </c>
      <c r="Z105" s="201">
        <f t="shared" si="43"/>
        <v>0</v>
      </c>
      <c r="AK105" s="59">
        <f t="shared" si="44"/>
        <v>10.869355616002531</v>
      </c>
      <c r="AL105" s="46">
        <f t="shared" si="45"/>
        <v>10.869355616002531</v>
      </c>
      <c r="AM105" s="206">
        <f t="shared" si="46"/>
        <v>0</v>
      </c>
    </row>
    <row r="106" spans="17:39">
      <c r="Q106" s="16" t="s">
        <v>204</v>
      </c>
      <c r="R106" s="58">
        <f t="shared" si="38"/>
        <v>20523.512234370042</v>
      </c>
      <c r="S106" s="13">
        <f t="shared" si="39"/>
        <v>18898.215137082327</v>
      </c>
      <c r="T106" s="176">
        <f t="shared" si="40"/>
        <v>11975.717234372531</v>
      </c>
      <c r="X106" s="58">
        <f t="shared" si="41"/>
        <v>2397.7525948302919</v>
      </c>
      <c r="Y106" s="194">
        <f t="shared" si="42"/>
        <v>2207.8698745683337</v>
      </c>
      <c r="Z106" s="201">
        <f t="shared" si="43"/>
        <v>1399.1175947741951</v>
      </c>
      <c r="AK106" s="59">
        <f t="shared" si="44"/>
        <v>2644.6636976970995</v>
      </c>
      <c r="AL106" s="46">
        <f t="shared" si="45"/>
        <v>2438.2327744753106</v>
      </c>
      <c r="AM106" s="206">
        <f t="shared" si="46"/>
        <v>1558.9980576706009</v>
      </c>
    </row>
    <row r="107" spans="17:39">
      <c r="Q107" s="16" t="s">
        <v>217</v>
      </c>
      <c r="R107" s="174">
        <f t="shared" si="38"/>
        <v>7100.3596164354922</v>
      </c>
      <c r="S107" s="175">
        <f t="shared" si="39"/>
        <v>7100.3596164354922</v>
      </c>
      <c r="T107" s="177">
        <f t="shared" si="40"/>
        <v>5785.4782059844747</v>
      </c>
      <c r="X107" s="174">
        <f t="shared" si="41"/>
        <v>722.86098988278229</v>
      </c>
      <c r="Y107" s="202">
        <f t="shared" si="42"/>
        <v>722.86098988278229</v>
      </c>
      <c r="Z107" s="201">
        <f t="shared" si="43"/>
        <v>588.99784360819297</v>
      </c>
      <c r="AK107" s="204">
        <f t="shared" si="44"/>
        <v>1345.3609898827822</v>
      </c>
      <c r="AL107" s="207">
        <f t="shared" si="45"/>
        <v>1345.3609898827822</v>
      </c>
      <c r="AM107" s="208">
        <f t="shared" si="46"/>
        <v>1173.9978436081929</v>
      </c>
    </row>
    <row r="108" spans="17:39">
      <c r="R108" s="60">
        <f>SUM(R83:R107)</f>
        <v>237544.73925652509</v>
      </c>
      <c r="S108" s="60">
        <f>SUM(S83:S107)</f>
        <v>212840.31492669813</v>
      </c>
      <c r="T108" s="60">
        <f>SUM(T83:T107)</f>
        <v>102831.83737132039</v>
      </c>
      <c r="X108" s="70">
        <f t="shared" ref="X108:Z108" si="47">SUM(X83:X107)</f>
        <v>18950.728773657389</v>
      </c>
      <c r="Y108" s="70">
        <f t="shared" si="47"/>
        <v>17175.192918662375</v>
      </c>
      <c r="Z108" s="70">
        <f t="shared" si="47"/>
        <v>8659.7393746902944</v>
      </c>
      <c r="AK108" s="205">
        <f t="shared" ref="AK108:AM108" si="48">SUM(AK83:AK107)</f>
        <v>28728.185580954254</v>
      </c>
      <c r="AL108" s="60">
        <f t="shared" si="48"/>
        <v>26495.774947466609</v>
      </c>
      <c r="AM108" s="60">
        <f t="shared" si="48"/>
        <v>15990.321078305784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4C4E-4B1F-460B-89AF-3BE2FA485F7F}">
  <sheetPr codeName="Sheet18"/>
  <dimension ref="B2:S16"/>
  <sheetViews>
    <sheetView topLeftCell="D1" zoomScale="130" workbookViewId="0">
      <selection activeCell="I21" sqref="I21"/>
    </sheetView>
  </sheetViews>
  <sheetFormatPr defaultRowHeight="14"/>
  <cols>
    <col min="3" max="4" width="40.4140625" bestFit="1" customWidth="1"/>
    <col min="5" max="5" width="16" bestFit="1" customWidth="1"/>
    <col min="8" max="9" width="13.75" customWidth="1"/>
    <col min="10" max="12" width="8.75" customWidth="1"/>
  </cols>
  <sheetData>
    <row r="2" spans="2:19">
      <c r="B2" s="42" t="s">
        <v>4</v>
      </c>
      <c r="C2" t="s">
        <v>380</v>
      </c>
    </row>
    <row r="3" spans="2:19">
      <c r="B3" s="42" t="s">
        <v>341</v>
      </c>
      <c r="C3" t="s">
        <v>181</v>
      </c>
    </row>
    <row r="4" spans="2:19">
      <c r="B4" s="42" t="s">
        <v>8</v>
      </c>
      <c r="C4" s="62" t="s">
        <v>484</v>
      </c>
    </row>
    <row r="5" spans="2:19">
      <c r="B5" s="42"/>
      <c r="C5" s="62"/>
    </row>
    <row r="6" spans="2:19">
      <c r="H6" s="5" t="s">
        <v>381</v>
      </c>
      <c r="I6" s="5" t="s">
        <v>382</v>
      </c>
      <c r="K6" s="5" t="s">
        <v>383</v>
      </c>
      <c r="L6" s="5"/>
      <c r="N6" s="5"/>
    </row>
    <row r="7" spans="2:19" ht="14.5">
      <c r="B7" s="42" t="s">
        <v>117</v>
      </c>
      <c r="H7" s="146">
        <v>0.8</v>
      </c>
      <c r="I7" s="146">
        <v>0.2</v>
      </c>
      <c r="K7" s="236" t="s">
        <v>491</v>
      </c>
      <c r="L7" s="108"/>
    </row>
    <row r="8" spans="2:19">
      <c r="K8" s="39" t="s">
        <v>384</v>
      </c>
      <c r="L8" s="39"/>
      <c r="M8" s="39"/>
      <c r="N8" s="39"/>
      <c r="O8" s="39"/>
    </row>
    <row r="9" spans="2:19">
      <c r="C9" t="s">
        <v>49</v>
      </c>
      <c r="D9" s="17">
        <v>13960.220985737282</v>
      </c>
      <c r="K9" s="105">
        <v>2024</v>
      </c>
      <c r="L9" s="125">
        <f>DeployedCapacities!D22</f>
        <v>15702.6</v>
      </c>
      <c r="M9" s="39"/>
      <c r="N9" s="39"/>
      <c r="O9" s="39"/>
      <c r="P9" s="39"/>
      <c r="Q9" s="39"/>
      <c r="R9" s="39"/>
      <c r="S9" s="39"/>
    </row>
    <row r="10" spans="2:19">
      <c r="C10" t="s">
        <v>19</v>
      </c>
      <c r="D10" s="17">
        <v>37883.267826980642</v>
      </c>
      <c r="E10" s="108"/>
      <c r="K10" s="105" t="s">
        <v>49</v>
      </c>
      <c r="L10" s="125">
        <f>DeployedCapacities!F57</f>
        <v>28580.6</v>
      </c>
      <c r="M10" s="39"/>
      <c r="N10" s="39"/>
      <c r="O10" s="39"/>
    </row>
    <row r="11" spans="2:19">
      <c r="C11" t="s">
        <v>48</v>
      </c>
      <c r="D11" s="17">
        <v>29720.473602520204</v>
      </c>
      <c r="E11" s="108"/>
      <c r="K11" s="105" t="s">
        <v>19</v>
      </c>
      <c r="L11" s="125">
        <f>DeployedCapacities!D57</f>
        <v>50649.090000000004</v>
      </c>
    </row>
    <row r="12" spans="2:19">
      <c r="K12" s="105" t="s">
        <v>48</v>
      </c>
      <c r="L12" s="125">
        <f>DeployedCapacities!E57</f>
        <v>43119.09</v>
      </c>
    </row>
    <row r="13" spans="2:19">
      <c r="K13" t="s">
        <v>385</v>
      </c>
    </row>
    <row r="14" spans="2:19">
      <c r="K14" s="105" t="s">
        <v>49</v>
      </c>
      <c r="L14" s="164">
        <f>($L$9+L10)/L10</f>
        <v>1.5494146379012337</v>
      </c>
    </row>
    <row r="15" spans="2:19">
      <c r="K15" s="105" t="s">
        <v>19</v>
      </c>
      <c r="L15" s="164">
        <f>($L$9+L11)/L11</f>
        <v>1.3100272877558115</v>
      </c>
    </row>
    <row r="16" spans="2:19">
      <c r="K16" s="105" t="s">
        <v>48</v>
      </c>
      <c r="L16" s="164">
        <f>($L$9+L12)/L12</f>
        <v>1.3641681677419444</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B0791-A654-4D71-8740-1E19C33EAC28}">
  <sheetPr codeName="Sheet16"/>
  <dimension ref="B3:J17"/>
  <sheetViews>
    <sheetView workbookViewId="0"/>
  </sheetViews>
  <sheetFormatPr defaultRowHeight="14"/>
  <cols>
    <col min="4" max="4" width="12.75" bestFit="1" customWidth="1"/>
    <col min="6" max="6" width="15.75" bestFit="1" customWidth="1"/>
    <col min="7" max="7" width="12.75" bestFit="1" customWidth="1"/>
  </cols>
  <sheetData>
    <row r="3" spans="2:10">
      <c r="B3" s="96" t="s">
        <v>4</v>
      </c>
      <c r="C3" s="43" t="s">
        <v>386</v>
      </c>
      <c r="D3" s="43"/>
      <c r="E3" s="43"/>
      <c r="F3" s="43"/>
      <c r="G3" s="43"/>
      <c r="H3" s="43"/>
      <c r="I3" s="43"/>
      <c r="J3" s="43"/>
    </row>
    <row r="4" spans="2:10">
      <c r="B4" s="96" t="s">
        <v>341</v>
      </c>
      <c r="C4" s="106" t="s">
        <v>387</v>
      </c>
      <c r="D4" s="43"/>
      <c r="E4" s="43"/>
      <c r="F4" s="43"/>
      <c r="G4" s="43"/>
      <c r="H4" s="43"/>
      <c r="I4" s="43"/>
      <c r="J4" s="43"/>
    </row>
    <row r="5" spans="2:10">
      <c r="B5" s="96" t="s">
        <v>8</v>
      </c>
      <c r="C5" s="62" t="s">
        <v>196</v>
      </c>
      <c r="D5" s="43"/>
      <c r="E5" s="43"/>
      <c r="F5" s="43"/>
      <c r="G5" s="43"/>
      <c r="H5" s="43"/>
      <c r="I5" s="43"/>
      <c r="J5" s="43"/>
    </row>
    <row r="6" spans="2:10">
      <c r="B6" s="61"/>
      <c r="C6" s="62"/>
      <c r="D6" s="43"/>
      <c r="E6" s="43"/>
      <c r="F6" s="43"/>
      <c r="G6" s="43"/>
      <c r="H6" s="43"/>
      <c r="I6" s="43"/>
      <c r="J6" s="43"/>
    </row>
    <row r="7" spans="2:10">
      <c r="B7" s="168" t="s">
        <v>10</v>
      </c>
      <c r="C7" s="62"/>
      <c r="D7" s="43"/>
      <c r="E7" s="43"/>
      <c r="F7" s="43"/>
      <c r="G7" s="43"/>
      <c r="H7" s="43"/>
      <c r="I7" s="43"/>
      <c r="J7" s="43"/>
    </row>
    <row r="8" spans="2:10">
      <c r="B8" s="61"/>
      <c r="C8" s="62"/>
      <c r="D8" s="43"/>
      <c r="E8" s="43"/>
      <c r="F8" s="43"/>
      <c r="G8" s="43"/>
      <c r="H8" s="43"/>
      <c r="I8" s="43"/>
      <c r="J8" s="43"/>
    </row>
    <row r="9" spans="2:10">
      <c r="B9" s="43"/>
      <c r="C9" s="106"/>
      <c r="D9" s="43"/>
      <c r="E9" s="43"/>
      <c r="F9" s="43"/>
      <c r="G9" s="43"/>
      <c r="H9" s="43"/>
      <c r="I9" s="43"/>
      <c r="J9" s="43"/>
    </row>
    <row r="10" spans="2:10">
      <c r="B10" s="44" t="s">
        <v>343</v>
      </c>
      <c r="C10" s="43"/>
      <c r="D10" s="43"/>
      <c r="E10" s="43"/>
      <c r="F10" s="43" t="s">
        <v>388</v>
      </c>
      <c r="G10" s="43"/>
      <c r="H10" s="43"/>
      <c r="I10" s="43" t="s">
        <v>389</v>
      </c>
      <c r="J10" s="43"/>
    </row>
    <row r="11" spans="2:10">
      <c r="B11" s="43"/>
      <c r="C11" s="43"/>
      <c r="D11" s="43"/>
      <c r="E11" s="43"/>
      <c r="F11" s="43"/>
      <c r="G11" s="43"/>
      <c r="H11" s="43"/>
      <c r="I11" s="43"/>
      <c r="J11" s="43"/>
    </row>
    <row r="12" spans="2:10">
      <c r="B12" s="43"/>
      <c r="C12" s="44" t="s">
        <v>11</v>
      </c>
      <c r="D12" s="44">
        <v>2030</v>
      </c>
      <c r="E12" s="43"/>
      <c r="F12" s="44" t="s">
        <v>33</v>
      </c>
      <c r="G12" s="44" t="s">
        <v>32</v>
      </c>
      <c r="H12" s="43"/>
      <c r="I12" s="44" t="s">
        <v>33</v>
      </c>
      <c r="J12" s="44" t="s">
        <v>32</v>
      </c>
    </row>
    <row r="13" spans="2:10">
      <c r="B13" s="43"/>
      <c r="C13" s="61"/>
      <c r="D13" s="61"/>
      <c r="E13" s="43"/>
      <c r="F13" s="115" t="s">
        <v>390</v>
      </c>
      <c r="G13" s="115" t="s">
        <v>390</v>
      </c>
      <c r="H13" s="43"/>
      <c r="I13" s="61"/>
      <c r="J13" s="61"/>
    </row>
    <row r="14" spans="2:10">
      <c r="B14" s="43"/>
      <c r="C14" s="43" t="s">
        <v>19</v>
      </c>
      <c r="D14" s="178">
        <f>F14*I14+G14*J14</f>
        <v>3443461.2</v>
      </c>
      <c r="E14" s="43"/>
      <c r="F14" s="179">
        <v>0</v>
      </c>
      <c r="G14" s="179">
        <v>-3443461.2</v>
      </c>
      <c r="H14" s="43"/>
      <c r="I14" s="181">
        <v>0.97</v>
      </c>
      <c r="J14" s="180">
        <v>-1</v>
      </c>
    </row>
    <row r="15" spans="2:10">
      <c r="B15" s="43"/>
      <c r="C15" s="43" t="s">
        <v>48</v>
      </c>
      <c r="D15" s="178">
        <f>F15*I15+G15*J15</f>
        <v>9213553.9188000001</v>
      </c>
      <c r="E15" s="43"/>
      <c r="F15" s="179">
        <v>2413524.04</v>
      </c>
      <c r="G15" s="179">
        <v>-6872435.5999999996</v>
      </c>
      <c r="H15" s="43"/>
      <c r="I15" s="181">
        <v>0.97</v>
      </c>
      <c r="J15" s="180">
        <v>-1</v>
      </c>
    </row>
    <row r="16" spans="2:10">
      <c r="B16" s="43"/>
      <c r="C16" s="43" t="s">
        <v>49</v>
      </c>
      <c r="D16" s="178">
        <v>0</v>
      </c>
      <c r="E16" s="43"/>
      <c r="F16" s="179">
        <v>0</v>
      </c>
      <c r="G16" s="179">
        <v>0</v>
      </c>
      <c r="H16" s="43"/>
      <c r="I16" s="181">
        <v>0.97</v>
      </c>
      <c r="J16" s="180">
        <v>-1</v>
      </c>
    </row>
    <row r="17" spans="9:9">
      <c r="I17" s="14"/>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1A85D-9BE3-49DD-852D-0661CBB5A4C9}">
  <sheetPr codeName="Sheet19">
    <tabColor theme="8"/>
  </sheetPr>
  <dimension ref="B3"/>
  <sheetViews>
    <sheetView workbookViewId="0"/>
  </sheetViews>
  <sheetFormatPr defaultColWidth="8.75" defaultRowHeight="14"/>
  <cols>
    <col min="1" max="16384" width="8.75" style="1"/>
  </cols>
  <sheetData>
    <row r="3" spans="2:2" ht="23">
      <c r="B3" s="6" t="s">
        <v>319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79CBD-5EE1-4F14-B2A1-65B31D430E0C}">
  <sheetPr codeName="Sheet5"/>
  <dimension ref="C1:L83"/>
  <sheetViews>
    <sheetView topLeftCell="A10" workbookViewId="0"/>
  </sheetViews>
  <sheetFormatPr defaultRowHeight="14"/>
  <cols>
    <col min="1" max="1" width="1.75" customWidth="1"/>
    <col min="3" max="3" width="13.75" bestFit="1" customWidth="1"/>
    <col min="4" max="4" width="14.4140625" customWidth="1"/>
    <col min="5" max="5" width="38.75" bestFit="1" customWidth="1"/>
    <col min="6" max="6" width="10.25" bestFit="1" customWidth="1"/>
    <col min="7" max="7" width="5.25" bestFit="1" customWidth="1"/>
    <col min="8" max="8" width="10.25" bestFit="1" customWidth="1"/>
    <col min="9" max="9" width="9.75" bestFit="1" customWidth="1"/>
    <col min="10" max="10" width="5.25" bestFit="1" customWidth="1"/>
    <col min="11" max="11" width="25.75" bestFit="1" customWidth="1"/>
  </cols>
  <sheetData>
    <row r="1" spans="3:12" ht="10.4" customHeight="1"/>
    <row r="2" spans="3:12">
      <c r="C2" s="10"/>
    </row>
    <row r="3" spans="3:12">
      <c r="C3" s="96" t="s">
        <v>4</v>
      </c>
      <c r="D3" s="43" t="s">
        <v>5</v>
      </c>
    </row>
    <row r="4" spans="3:12">
      <c r="C4" s="96" t="s">
        <v>6</v>
      </c>
      <c r="D4" s="43" t="s">
        <v>7</v>
      </c>
    </row>
    <row r="5" spans="3:12">
      <c r="C5" s="96" t="s">
        <v>8</v>
      </c>
      <c r="D5" s="62" t="s">
        <v>9</v>
      </c>
    </row>
    <row r="6" spans="3:12">
      <c r="C6" s="61"/>
      <c r="D6" s="62"/>
    </row>
    <row r="7" spans="3:12">
      <c r="C7" s="168" t="s">
        <v>10</v>
      </c>
      <c r="D7" s="62"/>
    </row>
    <row r="8" spans="3:12">
      <c r="C8" s="10"/>
    </row>
    <row r="10" spans="3:12">
      <c r="C10" s="44" t="s">
        <v>11</v>
      </c>
      <c r="D10" s="44" t="s">
        <v>12</v>
      </c>
      <c r="E10" s="44" t="s">
        <v>13</v>
      </c>
      <c r="F10" s="44" t="s">
        <v>14</v>
      </c>
      <c r="G10" s="44" t="s">
        <v>15</v>
      </c>
      <c r="H10" s="44" t="s">
        <v>16</v>
      </c>
      <c r="I10" s="44" t="s">
        <v>17</v>
      </c>
      <c r="J10" s="44" t="s">
        <v>6</v>
      </c>
      <c r="K10" s="44" t="s">
        <v>18</v>
      </c>
    </row>
    <row r="11" spans="3:12">
      <c r="C11" t="s">
        <v>19</v>
      </c>
      <c r="D11" t="s">
        <v>20</v>
      </c>
      <c r="E11" t="s">
        <v>21</v>
      </c>
      <c r="F11" t="s">
        <v>22</v>
      </c>
      <c r="G11">
        <v>1</v>
      </c>
      <c r="H11">
        <v>2030</v>
      </c>
      <c r="I11" s="149">
        <v>12582.45</v>
      </c>
      <c r="J11" t="s">
        <v>7</v>
      </c>
      <c r="K11" t="str">
        <f t="shared" ref="K11:K36" si="0">IF(E11="Offshore Wind_HND","Offshore Wind",E11)</f>
        <v>Biomass</v>
      </c>
      <c r="L11" s="14"/>
    </row>
    <row r="12" spans="3:12">
      <c r="C12" t="s">
        <v>19</v>
      </c>
      <c r="D12" t="s">
        <v>20</v>
      </c>
      <c r="E12" t="s">
        <v>23</v>
      </c>
      <c r="F12" t="s">
        <v>22</v>
      </c>
      <c r="G12">
        <v>1</v>
      </c>
      <c r="H12">
        <v>2030</v>
      </c>
      <c r="I12" s="149">
        <v>291.44</v>
      </c>
      <c r="J12" t="s">
        <v>7</v>
      </c>
      <c r="K12" t="str">
        <f t="shared" si="0"/>
        <v>GB_DSR</v>
      </c>
      <c r="L12" s="14"/>
    </row>
    <row r="13" spans="3:12">
      <c r="C13" t="s">
        <v>19</v>
      </c>
      <c r="D13" t="s">
        <v>20</v>
      </c>
      <c r="E13" t="s">
        <v>24</v>
      </c>
      <c r="F13" t="s">
        <v>22</v>
      </c>
      <c r="G13">
        <v>1</v>
      </c>
      <c r="H13">
        <v>2030</v>
      </c>
      <c r="I13" s="149">
        <v>25892.23</v>
      </c>
      <c r="J13" t="s">
        <v>7</v>
      </c>
      <c r="K13" t="str">
        <f t="shared" si="0"/>
        <v>Nuclear</v>
      </c>
      <c r="L13" s="14"/>
    </row>
    <row r="14" spans="3:12">
      <c r="C14" t="s">
        <v>19</v>
      </c>
      <c r="D14" t="s">
        <v>20</v>
      </c>
      <c r="E14" t="s">
        <v>25</v>
      </c>
      <c r="F14" t="s">
        <v>22</v>
      </c>
      <c r="G14">
        <v>1</v>
      </c>
      <c r="H14">
        <v>2030</v>
      </c>
      <c r="I14" s="149">
        <v>44138.58</v>
      </c>
      <c r="J14" t="s">
        <v>7</v>
      </c>
      <c r="K14" t="str">
        <f t="shared" si="0"/>
        <v>Solar PV</v>
      </c>
      <c r="L14" s="14"/>
    </row>
    <row r="15" spans="3:12">
      <c r="C15" t="s">
        <v>19</v>
      </c>
      <c r="D15" t="s">
        <v>20</v>
      </c>
      <c r="E15" t="s">
        <v>26</v>
      </c>
      <c r="F15" t="s">
        <v>22</v>
      </c>
      <c r="G15">
        <v>1</v>
      </c>
      <c r="H15">
        <v>2030</v>
      </c>
      <c r="I15" s="149">
        <v>7897.5</v>
      </c>
      <c r="J15" t="s">
        <v>7</v>
      </c>
      <c r="K15" t="str">
        <f t="shared" si="0"/>
        <v>Waste</v>
      </c>
      <c r="L15" s="14"/>
    </row>
    <row r="16" spans="3:12">
      <c r="C16" t="s">
        <v>19</v>
      </c>
      <c r="D16" t="s">
        <v>20</v>
      </c>
      <c r="E16" t="s">
        <v>27</v>
      </c>
      <c r="F16" t="s">
        <v>22</v>
      </c>
      <c r="G16">
        <v>1</v>
      </c>
      <c r="H16">
        <v>2030</v>
      </c>
      <c r="I16" s="149">
        <v>4589.3500000000004</v>
      </c>
      <c r="J16" t="s">
        <v>7</v>
      </c>
      <c r="K16" t="str">
        <f t="shared" si="0"/>
        <v>Advanced Conversion Technology (ACT)</v>
      </c>
      <c r="L16" s="14"/>
    </row>
    <row r="17" spans="3:12">
      <c r="C17" t="s">
        <v>19</v>
      </c>
      <c r="D17" t="s">
        <v>20</v>
      </c>
      <c r="E17" t="s">
        <v>28</v>
      </c>
      <c r="F17" t="s">
        <v>22</v>
      </c>
      <c r="G17">
        <v>1</v>
      </c>
      <c r="H17">
        <v>2030</v>
      </c>
      <c r="I17" s="149">
        <v>4497.83</v>
      </c>
      <c r="J17" t="s">
        <v>7</v>
      </c>
      <c r="K17" t="str">
        <f t="shared" si="0"/>
        <v>Advanced Conversion Technology (ACT) CHP</v>
      </c>
      <c r="L17" s="14"/>
    </row>
    <row r="18" spans="3:12">
      <c r="C18" t="s">
        <v>19</v>
      </c>
      <c r="D18" t="s">
        <v>20</v>
      </c>
      <c r="E18" t="s">
        <v>29</v>
      </c>
      <c r="F18" t="s">
        <v>22</v>
      </c>
      <c r="G18">
        <v>1</v>
      </c>
      <c r="H18">
        <v>2030</v>
      </c>
      <c r="I18" s="149">
        <v>102.91</v>
      </c>
      <c r="J18" t="s">
        <v>7</v>
      </c>
      <c r="K18" t="str">
        <f t="shared" si="0"/>
        <v>Biomass CHP</v>
      </c>
      <c r="L18" s="14"/>
    </row>
    <row r="19" spans="3:12">
      <c r="C19" t="s">
        <v>19</v>
      </c>
      <c r="D19" t="s">
        <v>20</v>
      </c>
      <c r="E19" t="s">
        <v>30</v>
      </c>
      <c r="F19" t="s">
        <v>22</v>
      </c>
      <c r="G19">
        <v>1</v>
      </c>
      <c r="H19">
        <v>2030</v>
      </c>
      <c r="I19" s="149">
        <v>14511.21</v>
      </c>
      <c r="J19" t="s">
        <v>7</v>
      </c>
      <c r="K19" t="str">
        <f t="shared" si="0"/>
        <v>CCGT</v>
      </c>
      <c r="L19" s="14"/>
    </row>
    <row r="20" spans="3:12">
      <c r="C20" t="s">
        <v>19</v>
      </c>
      <c r="D20" t="s">
        <v>20</v>
      </c>
      <c r="E20" t="s">
        <v>31</v>
      </c>
      <c r="F20" t="s">
        <v>22</v>
      </c>
      <c r="G20">
        <v>1</v>
      </c>
      <c r="H20">
        <v>2030</v>
      </c>
      <c r="I20" s="149">
        <v>0</v>
      </c>
      <c r="J20" t="s">
        <v>7</v>
      </c>
      <c r="K20" t="str">
        <f t="shared" si="0"/>
        <v>CCGT Hydrogen</v>
      </c>
      <c r="L20" s="14"/>
    </row>
    <row r="21" spans="3:12">
      <c r="C21" t="s">
        <v>19</v>
      </c>
      <c r="D21" t="s">
        <v>20</v>
      </c>
      <c r="E21" t="s">
        <v>32</v>
      </c>
      <c r="F21" t="s">
        <v>22</v>
      </c>
      <c r="G21">
        <v>1</v>
      </c>
      <c r="H21">
        <v>2030</v>
      </c>
      <c r="I21" s="149">
        <v>3503.25</v>
      </c>
      <c r="J21" t="s">
        <v>7</v>
      </c>
      <c r="K21" t="str">
        <f t="shared" si="0"/>
        <v>CCS Biomass</v>
      </c>
      <c r="L21" s="14"/>
    </row>
    <row r="22" spans="3:12">
      <c r="C22" t="s">
        <v>19</v>
      </c>
      <c r="D22" t="s">
        <v>20</v>
      </c>
      <c r="E22" t="s">
        <v>33</v>
      </c>
      <c r="F22" t="s">
        <v>22</v>
      </c>
      <c r="G22">
        <v>1</v>
      </c>
      <c r="H22">
        <v>2030</v>
      </c>
      <c r="I22" s="149">
        <v>0</v>
      </c>
      <c r="J22" t="s">
        <v>7</v>
      </c>
      <c r="K22" t="str">
        <f t="shared" si="0"/>
        <v>CCS Gas</v>
      </c>
      <c r="L22" s="14"/>
    </row>
    <row r="23" spans="3:12">
      <c r="C23" t="s">
        <v>19</v>
      </c>
      <c r="D23" t="s">
        <v>20</v>
      </c>
      <c r="E23" t="s">
        <v>34</v>
      </c>
      <c r="F23" t="s">
        <v>22</v>
      </c>
      <c r="G23">
        <v>1</v>
      </c>
      <c r="H23">
        <v>2030</v>
      </c>
      <c r="I23" s="149">
        <v>0</v>
      </c>
      <c r="J23" t="s">
        <v>7</v>
      </c>
      <c r="K23" t="str">
        <f t="shared" si="0"/>
        <v>Gas Reciprocating Engines</v>
      </c>
      <c r="L23" s="14"/>
    </row>
    <row r="24" spans="3:12">
      <c r="C24" t="s">
        <v>19</v>
      </c>
      <c r="D24" t="s">
        <v>20</v>
      </c>
      <c r="E24" t="s">
        <v>35</v>
      </c>
      <c r="F24" t="s">
        <v>22</v>
      </c>
      <c r="G24">
        <v>1</v>
      </c>
      <c r="H24">
        <v>2030</v>
      </c>
      <c r="I24" s="149">
        <v>55.82</v>
      </c>
      <c r="J24" t="s">
        <v>7</v>
      </c>
      <c r="K24" t="str">
        <f t="shared" si="0"/>
        <v>GT</v>
      </c>
      <c r="L24" s="14"/>
    </row>
    <row r="25" spans="3:12">
      <c r="C25" t="s">
        <v>19</v>
      </c>
      <c r="D25" t="s">
        <v>20</v>
      </c>
      <c r="E25" t="s">
        <v>36</v>
      </c>
      <c r="F25" t="s">
        <v>22</v>
      </c>
      <c r="G25">
        <v>1</v>
      </c>
      <c r="H25">
        <v>2030</v>
      </c>
      <c r="I25" s="149">
        <v>11097.59</v>
      </c>
      <c r="J25" t="s">
        <v>7</v>
      </c>
      <c r="K25" t="str">
        <f t="shared" si="0"/>
        <v>GT CHP</v>
      </c>
      <c r="L25" s="14"/>
    </row>
    <row r="26" spans="3:12">
      <c r="C26" t="s">
        <v>19</v>
      </c>
      <c r="D26" t="s">
        <v>20</v>
      </c>
      <c r="E26" t="s">
        <v>37</v>
      </c>
      <c r="F26" t="s">
        <v>22</v>
      </c>
      <c r="G26">
        <v>1</v>
      </c>
      <c r="H26">
        <v>2030</v>
      </c>
      <c r="I26" s="149">
        <v>157441.15</v>
      </c>
      <c r="J26" t="s">
        <v>7</v>
      </c>
      <c r="K26" t="str">
        <f t="shared" si="0"/>
        <v>Offshore Wind</v>
      </c>
      <c r="L26" s="14"/>
    </row>
    <row r="27" spans="3:12">
      <c r="C27" t="s">
        <v>19</v>
      </c>
      <c r="D27" t="s">
        <v>20</v>
      </c>
      <c r="E27" t="s">
        <v>38</v>
      </c>
      <c r="F27" t="s">
        <v>22</v>
      </c>
      <c r="G27">
        <v>1</v>
      </c>
      <c r="H27">
        <v>2030</v>
      </c>
      <c r="I27" s="149">
        <v>56448.04</v>
      </c>
      <c r="J27" t="s">
        <v>7</v>
      </c>
      <c r="K27" t="str">
        <f t="shared" si="0"/>
        <v>Onshore Wind</v>
      </c>
      <c r="L27" s="14"/>
    </row>
    <row r="28" spans="3:12">
      <c r="C28" t="s">
        <v>19</v>
      </c>
      <c r="D28" t="s">
        <v>20</v>
      </c>
      <c r="E28" t="s">
        <v>39</v>
      </c>
      <c r="F28" t="s">
        <v>22</v>
      </c>
      <c r="G28">
        <v>1</v>
      </c>
      <c r="H28">
        <v>2030</v>
      </c>
      <c r="I28" s="149">
        <v>9121.3700000000008</v>
      </c>
      <c r="J28" t="s">
        <v>7</v>
      </c>
      <c r="K28" t="str">
        <f t="shared" si="0"/>
        <v>Pumped Hydro</v>
      </c>
      <c r="L28" s="14"/>
    </row>
    <row r="29" spans="3:12">
      <c r="C29" t="s">
        <v>19</v>
      </c>
      <c r="D29" t="s">
        <v>20</v>
      </c>
      <c r="E29" t="s">
        <v>40</v>
      </c>
      <c r="F29" t="s">
        <v>22</v>
      </c>
      <c r="G29">
        <v>1</v>
      </c>
      <c r="H29">
        <v>2030</v>
      </c>
      <c r="I29" s="149">
        <v>751.12</v>
      </c>
      <c r="J29" t="s">
        <v>7</v>
      </c>
      <c r="K29" t="str">
        <f t="shared" si="0"/>
        <v>Reservoir Hydro</v>
      </c>
      <c r="L29" s="14"/>
    </row>
    <row r="30" spans="3:12">
      <c r="C30" t="s">
        <v>19</v>
      </c>
      <c r="D30" t="s">
        <v>20</v>
      </c>
      <c r="E30" t="s">
        <v>41</v>
      </c>
      <c r="F30" t="s">
        <v>22</v>
      </c>
      <c r="G30">
        <v>1</v>
      </c>
      <c r="H30">
        <v>2030</v>
      </c>
      <c r="I30" s="149">
        <v>2740.26</v>
      </c>
      <c r="J30" t="s">
        <v>7</v>
      </c>
      <c r="K30" t="str">
        <f t="shared" si="0"/>
        <v>Small-Scale-Hydro</v>
      </c>
      <c r="L30" s="14"/>
    </row>
    <row r="31" spans="3:12">
      <c r="C31" t="s">
        <v>19</v>
      </c>
      <c r="D31" t="s">
        <v>20</v>
      </c>
      <c r="E31" t="s">
        <v>42</v>
      </c>
      <c r="F31" t="s">
        <v>22</v>
      </c>
      <c r="G31">
        <v>1</v>
      </c>
      <c r="H31">
        <v>2030</v>
      </c>
      <c r="I31" s="149">
        <v>0</v>
      </c>
      <c r="J31" t="s">
        <v>7</v>
      </c>
      <c r="K31" t="str">
        <f t="shared" si="0"/>
        <v>Steam Oil</v>
      </c>
      <c r="L31" s="14"/>
    </row>
    <row r="32" spans="3:12">
      <c r="C32" t="s">
        <v>19</v>
      </c>
      <c r="D32" t="s">
        <v>20</v>
      </c>
      <c r="E32" t="s">
        <v>43</v>
      </c>
      <c r="F32" t="s">
        <v>22</v>
      </c>
      <c r="G32">
        <v>1</v>
      </c>
      <c r="H32">
        <v>2030</v>
      </c>
      <c r="I32" s="149">
        <v>396.38</v>
      </c>
      <c r="J32" t="s">
        <v>7</v>
      </c>
      <c r="K32" t="str">
        <f t="shared" si="0"/>
        <v>Tidal Range</v>
      </c>
      <c r="L32" s="14"/>
    </row>
    <row r="33" spans="3:12">
      <c r="C33" t="s">
        <v>19</v>
      </c>
      <c r="D33" t="s">
        <v>20</v>
      </c>
      <c r="E33" t="s">
        <v>44</v>
      </c>
      <c r="F33" t="s">
        <v>22</v>
      </c>
      <c r="G33">
        <v>1</v>
      </c>
      <c r="H33">
        <v>2030</v>
      </c>
      <c r="I33" s="149">
        <v>121.28</v>
      </c>
      <c r="J33" t="s">
        <v>7</v>
      </c>
      <c r="K33" t="str">
        <f t="shared" si="0"/>
        <v>Hydrogen Reciprocating Engines</v>
      </c>
      <c r="L33" s="14"/>
    </row>
    <row r="34" spans="3:12">
      <c r="C34" t="s">
        <v>19</v>
      </c>
      <c r="D34" t="s">
        <v>20</v>
      </c>
      <c r="E34" t="s">
        <v>45</v>
      </c>
      <c r="F34" t="s">
        <v>22</v>
      </c>
      <c r="G34">
        <v>1</v>
      </c>
      <c r="H34">
        <v>2030</v>
      </c>
      <c r="I34" s="149">
        <v>37804.050000000003</v>
      </c>
      <c r="J34" t="s">
        <v>7</v>
      </c>
      <c r="K34" t="str">
        <f t="shared" si="0"/>
        <v>Offshore Wind</v>
      </c>
    </row>
    <row r="35" spans="3:12">
      <c r="C35" t="s">
        <v>19</v>
      </c>
      <c r="D35" t="s">
        <v>20</v>
      </c>
      <c r="E35" t="s">
        <v>46</v>
      </c>
      <c r="F35" t="s">
        <v>22</v>
      </c>
      <c r="G35">
        <v>1</v>
      </c>
      <c r="H35">
        <v>2030</v>
      </c>
      <c r="I35" s="149">
        <v>634.16</v>
      </c>
      <c r="J35" t="s">
        <v>7</v>
      </c>
      <c r="K35" t="str">
        <f t="shared" si="0"/>
        <v>Aggregated Small CHP Gas</v>
      </c>
    </row>
    <row r="36" spans="3:12">
      <c r="C36" t="s">
        <v>19</v>
      </c>
      <c r="D36" t="s">
        <v>20</v>
      </c>
      <c r="E36" t="s">
        <v>47</v>
      </c>
      <c r="F36" t="s">
        <v>22</v>
      </c>
      <c r="G36">
        <v>1</v>
      </c>
      <c r="H36">
        <v>2030</v>
      </c>
      <c r="I36" s="149">
        <v>213.74</v>
      </c>
      <c r="J36" t="s">
        <v>7</v>
      </c>
      <c r="K36" t="str">
        <f t="shared" si="0"/>
        <v>Aggregated Small CHP Hydrogen</v>
      </c>
    </row>
    <row r="37" spans="3:12">
      <c r="C37" t="s">
        <v>48</v>
      </c>
      <c r="D37" t="s">
        <v>20</v>
      </c>
      <c r="E37" t="s">
        <v>21</v>
      </c>
      <c r="F37" t="s">
        <v>22</v>
      </c>
      <c r="G37">
        <v>1</v>
      </c>
      <c r="H37">
        <v>2030</v>
      </c>
      <c r="I37" s="149">
        <v>9525.41</v>
      </c>
      <c r="J37" t="s">
        <v>7</v>
      </c>
      <c r="K37" t="str">
        <f t="shared" ref="K37:K67" si="1">IF(E37="Offshore Wind_HND","Offshore Wind",E37)</f>
        <v>Biomass</v>
      </c>
    </row>
    <row r="38" spans="3:12">
      <c r="C38" t="s">
        <v>48</v>
      </c>
      <c r="D38" t="s">
        <v>20</v>
      </c>
      <c r="E38" t="s">
        <v>23</v>
      </c>
      <c r="F38" t="s">
        <v>22</v>
      </c>
      <c r="G38">
        <v>1</v>
      </c>
      <c r="H38">
        <v>2030</v>
      </c>
      <c r="I38" s="149">
        <v>205.71</v>
      </c>
      <c r="J38" t="s">
        <v>7</v>
      </c>
      <c r="K38" t="str">
        <f t="shared" si="1"/>
        <v>GB_DSR</v>
      </c>
    </row>
    <row r="39" spans="3:12">
      <c r="C39" t="s">
        <v>48</v>
      </c>
      <c r="D39" t="s">
        <v>20</v>
      </c>
      <c r="E39" t="s">
        <v>24</v>
      </c>
      <c r="F39" t="s">
        <v>22</v>
      </c>
      <c r="G39">
        <v>1</v>
      </c>
      <c r="H39">
        <v>2030</v>
      </c>
      <c r="I39" s="149">
        <v>30653.98</v>
      </c>
      <c r="J39" t="s">
        <v>7</v>
      </c>
      <c r="K39" t="str">
        <f t="shared" si="1"/>
        <v>Nuclear</v>
      </c>
    </row>
    <row r="40" spans="3:12">
      <c r="C40" t="s">
        <v>48</v>
      </c>
      <c r="D40" t="s">
        <v>20</v>
      </c>
      <c r="E40" t="s">
        <v>25</v>
      </c>
      <c r="F40" t="s">
        <v>22</v>
      </c>
      <c r="G40">
        <v>1</v>
      </c>
      <c r="H40">
        <v>2030</v>
      </c>
      <c r="I40" s="149">
        <v>44790.28</v>
      </c>
      <c r="J40" t="s">
        <v>7</v>
      </c>
      <c r="K40" t="str">
        <f t="shared" si="1"/>
        <v>Solar PV</v>
      </c>
    </row>
    <row r="41" spans="3:12">
      <c r="C41" t="s">
        <v>48</v>
      </c>
      <c r="D41" t="s">
        <v>20</v>
      </c>
      <c r="E41" t="s">
        <v>26</v>
      </c>
      <c r="F41" t="s">
        <v>22</v>
      </c>
      <c r="G41">
        <v>1</v>
      </c>
      <c r="H41">
        <v>2030</v>
      </c>
      <c r="I41" s="149">
        <v>7866.97</v>
      </c>
      <c r="J41" t="s">
        <v>7</v>
      </c>
      <c r="K41" t="str">
        <f t="shared" si="1"/>
        <v>Waste</v>
      </c>
    </row>
    <row r="42" spans="3:12">
      <c r="C42" t="s">
        <v>48</v>
      </c>
      <c r="D42" t="s">
        <v>20</v>
      </c>
      <c r="E42" t="s">
        <v>27</v>
      </c>
      <c r="F42" t="s">
        <v>22</v>
      </c>
      <c r="G42">
        <v>1</v>
      </c>
      <c r="H42">
        <v>2030</v>
      </c>
      <c r="I42" s="149">
        <v>4303.2700000000004</v>
      </c>
      <c r="J42" t="s">
        <v>7</v>
      </c>
      <c r="K42" t="str">
        <f t="shared" si="1"/>
        <v>Advanced Conversion Technology (ACT)</v>
      </c>
    </row>
    <row r="43" spans="3:12">
      <c r="C43" t="s">
        <v>48</v>
      </c>
      <c r="D43" t="s">
        <v>20</v>
      </c>
      <c r="E43" t="s">
        <v>28</v>
      </c>
      <c r="F43" t="s">
        <v>22</v>
      </c>
      <c r="G43">
        <v>1</v>
      </c>
      <c r="H43">
        <v>2030</v>
      </c>
      <c r="I43" s="149">
        <v>4521.43</v>
      </c>
      <c r="J43" t="s">
        <v>7</v>
      </c>
      <c r="K43" t="str">
        <f t="shared" si="1"/>
        <v>Advanced Conversion Technology (ACT) CHP</v>
      </c>
    </row>
    <row r="44" spans="3:12">
      <c r="C44" t="s">
        <v>48</v>
      </c>
      <c r="D44" t="s">
        <v>20</v>
      </c>
      <c r="E44" t="s">
        <v>29</v>
      </c>
      <c r="F44" t="s">
        <v>22</v>
      </c>
      <c r="G44">
        <v>1</v>
      </c>
      <c r="H44">
        <v>2030</v>
      </c>
      <c r="I44" s="149">
        <v>101.53</v>
      </c>
      <c r="J44" t="s">
        <v>7</v>
      </c>
      <c r="K44" t="str">
        <f t="shared" si="1"/>
        <v>Biomass CHP</v>
      </c>
    </row>
    <row r="45" spans="3:12">
      <c r="C45" t="s">
        <v>48</v>
      </c>
      <c r="D45" t="s">
        <v>20</v>
      </c>
      <c r="E45" t="s">
        <v>30</v>
      </c>
      <c r="F45" t="s">
        <v>22</v>
      </c>
      <c r="G45">
        <v>1</v>
      </c>
      <c r="H45">
        <v>2030</v>
      </c>
      <c r="I45" s="149">
        <v>14747.42</v>
      </c>
      <c r="J45" t="s">
        <v>7</v>
      </c>
      <c r="K45" t="str">
        <f t="shared" si="1"/>
        <v>CCGT</v>
      </c>
    </row>
    <row r="46" spans="3:12">
      <c r="C46" t="s">
        <v>48</v>
      </c>
      <c r="D46" t="s">
        <v>20</v>
      </c>
      <c r="E46" t="s">
        <v>31</v>
      </c>
      <c r="F46" t="s">
        <v>22</v>
      </c>
      <c r="G46">
        <v>1</v>
      </c>
      <c r="H46">
        <v>2030</v>
      </c>
      <c r="I46" s="149">
        <v>5116.57</v>
      </c>
      <c r="J46" t="s">
        <v>7</v>
      </c>
      <c r="K46" t="str">
        <f t="shared" si="1"/>
        <v>CCGT Hydrogen</v>
      </c>
    </row>
    <row r="47" spans="3:12">
      <c r="C47" t="s">
        <v>48</v>
      </c>
      <c r="D47" t="s">
        <v>20</v>
      </c>
      <c r="E47" t="s">
        <v>32</v>
      </c>
      <c r="F47" t="s">
        <v>22</v>
      </c>
      <c r="G47">
        <v>1</v>
      </c>
      <c r="H47">
        <v>2030</v>
      </c>
      <c r="I47" s="149">
        <v>6991.76</v>
      </c>
      <c r="J47" t="s">
        <v>7</v>
      </c>
      <c r="K47" t="str">
        <f t="shared" si="1"/>
        <v>CCS Biomass</v>
      </c>
    </row>
    <row r="48" spans="3:12">
      <c r="C48" t="s">
        <v>48</v>
      </c>
      <c r="D48" t="s">
        <v>20</v>
      </c>
      <c r="E48" t="s">
        <v>33</v>
      </c>
      <c r="F48" t="s">
        <v>22</v>
      </c>
      <c r="G48">
        <v>1</v>
      </c>
      <c r="H48">
        <v>2030</v>
      </c>
      <c r="I48" s="149">
        <v>5596.71</v>
      </c>
      <c r="J48" t="s">
        <v>7</v>
      </c>
      <c r="K48" t="str">
        <f t="shared" si="1"/>
        <v>CCS Gas</v>
      </c>
    </row>
    <row r="49" spans="3:12">
      <c r="C49" t="s">
        <v>48</v>
      </c>
      <c r="D49" t="s">
        <v>20</v>
      </c>
      <c r="E49" t="s">
        <v>34</v>
      </c>
      <c r="F49" t="s">
        <v>22</v>
      </c>
      <c r="G49">
        <v>1</v>
      </c>
      <c r="H49">
        <v>2030</v>
      </c>
      <c r="I49" s="149">
        <v>0</v>
      </c>
      <c r="J49" t="s">
        <v>7</v>
      </c>
      <c r="K49" t="str">
        <f t="shared" si="1"/>
        <v>Gas Reciprocating Engines</v>
      </c>
    </row>
    <row r="50" spans="3:12">
      <c r="C50" t="s">
        <v>48</v>
      </c>
      <c r="D50" t="s">
        <v>20</v>
      </c>
      <c r="E50" t="s">
        <v>35</v>
      </c>
      <c r="F50" t="s">
        <v>22</v>
      </c>
      <c r="G50">
        <v>1</v>
      </c>
      <c r="H50">
        <v>2030</v>
      </c>
      <c r="I50" s="149">
        <v>56.16</v>
      </c>
      <c r="J50" t="s">
        <v>7</v>
      </c>
      <c r="K50" t="str">
        <f t="shared" si="1"/>
        <v>GT</v>
      </c>
    </row>
    <row r="51" spans="3:12">
      <c r="C51" t="s">
        <v>48</v>
      </c>
      <c r="D51" t="s">
        <v>20</v>
      </c>
      <c r="E51" t="s">
        <v>36</v>
      </c>
      <c r="F51" t="s">
        <v>22</v>
      </c>
      <c r="G51">
        <v>1</v>
      </c>
      <c r="H51">
        <v>2030</v>
      </c>
      <c r="I51" s="149">
        <v>11103.42</v>
      </c>
      <c r="J51" t="s">
        <v>7</v>
      </c>
      <c r="K51" t="str">
        <f t="shared" si="1"/>
        <v>GT CHP</v>
      </c>
    </row>
    <row r="52" spans="3:12">
      <c r="C52" t="s">
        <v>48</v>
      </c>
      <c r="D52" t="s">
        <v>20</v>
      </c>
      <c r="E52" t="s">
        <v>37</v>
      </c>
      <c r="F52" t="s">
        <v>22</v>
      </c>
      <c r="G52">
        <v>1</v>
      </c>
      <c r="H52">
        <v>2030</v>
      </c>
      <c r="I52" s="149">
        <v>146781.4</v>
      </c>
      <c r="J52" t="s">
        <v>7</v>
      </c>
      <c r="K52" t="str">
        <f t="shared" si="1"/>
        <v>Offshore Wind</v>
      </c>
    </row>
    <row r="53" spans="3:12">
      <c r="C53" t="s">
        <v>48</v>
      </c>
      <c r="D53" t="s">
        <v>20</v>
      </c>
      <c r="E53" t="s">
        <v>38</v>
      </c>
      <c r="F53" t="s">
        <v>22</v>
      </c>
      <c r="G53">
        <v>1</v>
      </c>
      <c r="H53">
        <v>2030</v>
      </c>
      <c r="I53" s="149">
        <v>57957.919999999998</v>
      </c>
      <c r="J53" t="s">
        <v>7</v>
      </c>
      <c r="K53" t="str">
        <f t="shared" si="1"/>
        <v>Onshore Wind</v>
      </c>
    </row>
    <row r="54" spans="3:12">
      <c r="C54" t="s">
        <v>48</v>
      </c>
      <c r="D54" t="s">
        <v>20</v>
      </c>
      <c r="E54" t="s">
        <v>39</v>
      </c>
      <c r="F54" t="s">
        <v>22</v>
      </c>
      <c r="G54">
        <v>1</v>
      </c>
      <c r="H54">
        <v>2030</v>
      </c>
      <c r="I54" s="149">
        <v>6464.33</v>
      </c>
      <c r="J54" t="s">
        <v>7</v>
      </c>
      <c r="K54" t="str">
        <f t="shared" si="1"/>
        <v>Pumped Hydro</v>
      </c>
    </row>
    <row r="55" spans="3:12">
      <c r="C55" t="s">
        <v>48</v>
      </c>
      <c r="D55" t="s">
        <v>20</v>
      </c>
      <c r="E55" t="s">
        <v>40</v>
      </c>
      <c r="F55" t="s">
        <v>22</v>
      </c>
      <c r="G55">
        <v>1</v>
      </c>
      <c r="H55">
        <v>2030</v>
      </c>
      <c r="I55" s="149">
        <v>751.12</v>
      </c>
      <c r="J55" t="s">
        <v>7</v>
      </c>
      <c r="K55" t="str">
        <f t="shared" si="1"/>
        <v>Reservoir Hydro</v>
      </c>
    </row>
    <row r="56" spans="3:12">
      <c r="C56" t="s">
        <v>48</v>
      </c>
      <c r="D56" t="s">
        <v>20</v>
      </c>
      <c r="E56" t="s">
        <v>41</v>
      </c>
      <c r="F56" t="s">
        <v>22</v>
      </c>
      <c r="G56">
        <v>1</v>
      </c>
      <c r="H56">
        <v>2030</v>
      </c>
      <c r="I56" s="149">
        <v>2756.76</v>
      </c>
      <c r="J56" t="s">
        <v>7</v>
      </c>
      <c r="K56" t="str">
        <f t="shared" si="1"/>
        <v>Small-Scale-Hydro</v>
      </c>
      <c r="L56" s="14"/>
    </row>
    <row r="57" spans="3:12">
      <c r="C57" t="s">
        <v>48</v>
      </c>
      <c r="D57" t="s">
        <v>20</v>
      </c>
      <c r="E57" t="s">
        <v>42</v>
      </c>
      <c r="F57" t="s">
        <v>22</v>
      </c>
      <c r="G57">
        <v>1</v>
      </c>
      <c r="H57">
        <v>2030</v>
      </c>
      <c r="I57" s="149">
        <v>0</v>
      </c>
      <c r="J57" t="s">
        <v>7</v>
      </c>
      <c r="K57" t="str">
        <f t="shared" si="1"/>
        <v>Steam Oil</v>
      </c>
      <c r="L57" s="14"/>
    </row>
    <row r="58" spans="3:12">
      <c r="C58" t="s">
        <v>48</v>
      </c>
      <c r="D58" t="s">
        <v>20</v>
      </c>
      <c r="E58" t="s">
        <v>43</v>
      </c>
      <c r="F58" t="s">
        <v>22</v>
      </c>
      <c r="G58">
        <v>1</v>
      </c>
      <c r="H58">
        <v>2030</v>
      </c>
      <c r="I58" s="149">
        <v>408.1</v>
      </c>
      <c r="J58" t="s">
        <v>7</v>
      </c>
      <c r="K58" t="str">
        <f t="shared" si="1"/>
        <v>Tidal Range</v>
      </c>
      <c r="L58" s="14"/>
    </row>
    <row r="59" spans="3:12">
      <c r="C59" t="s">
        <v>48</v>
      </c>
      <c r="D59" t="s">
        <v>20</v>
      </c>
      <c r="E59" t="s">
        <v>44</v>
      </c>
      <c r="F59" t="s">
        <v>22</v>
      </c>
      <c r="G59">
        <v>1</v>
      </c>
      <c r="H59">
        <v>2030</v>
      </c>
      <c r="I59" s="149">
        <v>72.02</v>
      </c>
      <c r="J59" t="s">
        <v>7</v>
      </c>
      <c r="K59" t="str">
        <f t="shared" si="1"/>
        <v>Hydrogen Reciprocating Engines</v>
      </c>
      <c r="L59" s="14"/>
    </row>
    <row r="60" spans="3:12">
      <c r="C60" t="s">
        <v>48</v>
      </c>
      <c r="D60" t="s">
        <v>20</v>
      </c>
      <c r="E60" t="s">
        <v>45</v>
      </c>
      <c r="F60" t="s">
        <v>22</v>
      </c>
      <c r="G60">
        <v>1</v>
      </c>
      <c r="H60">
        <v>2030</v>
      </c>
      <c r="I60" s="149">
        <v>19877.89</v>
      </c>
      <c r="J60" t="s">
        <v>7</v>
      </c>
      <c r="K60" t="str">
        <f t="shared" si="1"/>
        <v>Offshore Wind</v>
      </c>
    </row>
    <row r="61" spans="3:12">
      <c r="C61" t="s">
        <v>48</v>
      </c>
      <c r="D61" t="s">
        <v>20</v>
      </c>
      <c r="E61" t="s">
        <v>46</v>
      </c>
      <c r="F61" t="s">
        <v>22</v>
      </c>
      <c r="G61">
        <v>1</v>
      </c>
      <c r="H61">
        <v>2030</v>
      </c>
      <c r="I61" s="149">
        <v>634.16</v>
      </c>
      <c r="J61" t="s">
        <v>7</v>
      </c>
      <c r="K61" t="str">
        <f t="shared" si="1"/>
        <v>Aggregated Small CHP Gas</v>
      </c>
    </row>
    <row r="62" spans="3:12">
      <c r="C62" t="s">
        <v>48</v>
      </c>
      <c r="D62" t="s">
        <v>20</v>
      </c>
      <c r="E62" t="s">
        <v>47</v>
      </c>
      <c r="F62" t="s">
        <v>22</v>
      </c>
      <c r="G62">
        <v>1</v>
      </c>
      <c r="H62">
        <v>2030</v>
      </c>
      <c r="I62" s="149">
        <v>204.75</v>
      </c>
      <c r="J62" t="s">
        <v>7</v>
      </c>
      <c r="K62" t="str">
        <f t="shared" si="1"/>
        <v>Aggregated Small CHP Hydrogen</v>
      </c>
    </row>
    <row r="63" spans="3:12">
      <c r="C63" t="s">
        <v>49</v>
      </c>
      <c r="D63" t="s">
        <v>20</v>
      </c>
      <c r="E63" t="s">
        <v>21</v>
      </c>
      <c r="F63" t="s">
        <v>22</v>
      </c>
      <c r="G63">
        <v>1</v>
      </c>
      <c r="H63">
        <v>2030</v>
      </c>
      <c r="I63" s="149">
        <v>4174.84</v>
      </c>
      <c r="J63" t="s">
        <v>7</v>
      </c>
      <c r="K63" t="str">
        <f t="shared" si="1"/>
        <v>Biomass</v>
      </c>
    </row>
    <row r="64" spans="3:12">
      <c r="C64" t="s">
        <v>49</v>
      </c>
      <c r="D64" t="s">
        <v>20</v>
      </c>
      <c r="E64" t="s">
        <v>23</v>
      </c>
      <c r="F64" t="s">
        <v>22</v>
      </c>
      <c r="G64">
        <v>1</v>
      </c>
      <c r="H64">
        <v>2030</v>
      </c>
      <c r="I64" s="149">
        <v>941.06</v>
      </c>
      <c r="J64" t="s">
        <v>7</v>
      </c>
      <c r="K64" t="str">
        <f t="shared" si="1"/>
        <v>GB_DSR</v>
      </c>
    </row>
    <row r="65" spans="3:11">
      <c r="C65" t="s">
        <v>49</v>
      </c>
      <c r="D65" t="s">
        <v>20</v>
      </c>
      <c r="E65" t="s">
        <v>24</v>
      </c>
      <c r="F65" t="s">
        <v>22</v>
      </c>
      <c r="G65">
        <v>1</v>
      </c>
      <c r="H65">
        <v>2030</v>
      </c>
      <c r="I65" s="149">
        <v>26656.23</v>
      </c>
      <c r="J65" t="s">
        <v>7</v>
      </c>
      <c r="K65" t="str">
        <f t="shared" si="1"/>
        <v>Nuclear</v>
      </c>
    </row>
    <row r="66" spans="3:11">
      <c r="C66" t="s">
        <v>49</v>
      </c>
      <c r="D66" t="s">
        <v>20</v>
      </c>
      <c r="E66" t="s">
        <v>25</v>
      </c>
      <c r="F66" t="s">
        <v>22</v>
      </c>
      <c r="G66">
        <v>1</v>
      </c>
      <c r="H66">
        <v>2030</v>
      </c>
      <c r="I66" s="149">
        <v>22803.3</v>
      </c>
      <c r="J66" t="s">
        <v>7</v>
      </c>
      <c r="K66" t="str">
        <f t="shared" si="1"/>
        <v>Solar PV</v>
      </c>
    </row>
    <row r="67" spans="3:11">
      <c r="C67" t="s">
        <v>49</v>
      </c>
      <c r="D67" t="s">
        <v>20</v>
      </c>
      <c r="E67" t="s">
        <v>26</v>
      </c>
      <c r="F67" t="s">
        <v>22</v>
      </c>
      <c r="G67">
        <v>1</v>
      </c>
      <c r="H67">
        <v>2030</v>
      </c>
      <c r="I67" s="149">
        <v>11897.27</v>
      </c>
      <c r="J67" t="s">
        <v>7</v>
      </c>
      <c r="K67" t="str">
        <f t="shared" si="1"/>
        <v>Waste</v>
      </c>
    </row>
    <row r="68" spans="3:11">
      <c r="C68" t="s">
        <v>49</v>
      </c>
      <c r="D68" t="s">
        <v>20</v>
      </c>
      <c r="E68" t="s">
        <v>27</v>
      </c>
      <c r="F68" t="s">
        <v>22</v>
      </c>
      <c r="G68">
        <v>1</v>
      </c>
      <c r="H68">
        <v>2030</v>
      </c>
      <c r="I68" s="149">
        <v>4076.39</v>
      </c>
      <c r="J68" t="s">
        <v>7</v>
      </c>
      <c r="K68" t="str">
        <f t="shared" ref="K68:K83" si="2">IF(E68="Offshore Wind_HND","Offshore Wind",E68)</f>
        <v>Advanced Conversion Technology (ACT)</v>
      </c>
    </row>
    <row r="69" spans="3:11">
      <c r="C69" t="s">
        <v>49</v>
      </c>
      <c r="D69" t="s">
        <v>20</v>
      </c>
      <c r="E69" t="s">
        <v>28</v>
      </c>
      <c r="F69" t="s">
        <v>22</v>
      </c>
      <c r="G69">
        <v>1</v>
      </c>
      <c r="H69">
        <v>2030</v>
      </c>
      <c r="I69" s="149">
        <v>4166.6899999999996</v>
      </c>
      <c r="J69" t="s">
        <v>7</v>
      </c>
      <c r="K69" t="str">
        <f t="shared" si="2"/>
        <v>Advanced Conversion Technology (ACT) CHP</v>
      </c>
    </row>
    <row r="70" spans="3:11">
      <c r="C70" t="s">
        <v>49</v>
      </c>
      <c r="D70" t="s">
        <v>20</v>
      </c>
      <c r="E70" t="s">
        <v>29</v>
      </c>
      <c r="F70" t="s">
        <v>22</v>
      </c>
      <c r="G70">
        <v>1</v>
      </c>
      <c r="H70">
        <v>2030</v>
      </c>
      <c r="I70" s="149">
        <v>6.55</v>
      </c>
      <c r="J70" t="s">
        <v>7</v>
      </c>
      <c r="K70" t="str">
        <f t="shared" si="2"/>
        <v>Biomass CHP</v>
      </c>
    </row>
    <row r="71" spans="3:11">
      <c r="C71" t="s">
        <v>49</v>
      </c>
      <c r="D71" t="s">
        <v>20</v>
      </c>
      <c r="E71" t="s">
        <v>30</v>
      </c>
      <c r="F71" t="s">
        <v>22</v>
      </c>
      <c r="G71">
        <v>1</v>
      </c>
      <c r="H71">
        <v>2030</v>
      </c>
      <c r="I71" s="149">
        <v>60560.81</v>
      </c>
      <c r="J71" t="s">
        <v>7</v>
      </c>
      <c r="K71" t="str">
        <f t="shared" si="2"/>
        <v>CCGT</v>
      </c>
    </row>
    <row r="72" spans="3:11">
      <c r="C72" t="s">
        <v>49</v>
      </c>
      <c r="D72" t="s">
        <v>20</v>
      </c>
      <c r="E72" t="s">
        <v>50</v>
      </c>
      <c r="F72" t="s">
        <v>22</v>
      </c>
      <c r="G72">
        <v>1</v>
      </c>
      <c r="H72">
        <v>2030</v>
      </c>
      <c r="I72" s="149">
        <v>2.85</v>
      </c>
      <c r="J72" t="s">
        <v>7</v>
      </c>
      <c r="K72" t="str">
        <f t="shared" si="2"/>
        <v>Diesel Reciprocating Engines</v>
      </c>
    </row>
    <row r="73" spans="3:11">
      <c r="C73" t="s">
        <v>49</v>
      </c>
      <c r="D73" t="s">
        <v>20</v>
      </c>
      <c r="E73" t="s">
        <v>34</v>
      </c>
      <c r="F73" t="s">
        <v>22</v>
      </c>
      <c r="G73">
        <v>1</v>
      </c>
      <c r="H73">
        <v>2030</v>
      </c>
      <c r="I73" s="149">
        <v>36.78</v>
      </c>
      <c r="J73" t="s">
        <v>7</v>
      </c>
      <c r="K73" t="str">
        <f t="shared" si="2"/>
        <v>Gas Reciprocating Engines</v>
      </c>
    </row>
    <row r="74" spans="3:11">
      <c r="C74" t="s">
        <v>49</v>
      </c>
      <c r="D74" t="s">
        <v>20</v>
      </c>
      <c r="E74" t="s">
        <v>35</v>
      </c>
      <c r="F74" t="s">
        <v>22</v>
      </c>
      <c r="G74">
        <v>1</v>
      </c>
      <c r="H74">
        <v>2030</v>
      </c>
      <c r="I74" s="149">
        <v>345.76</v>
      </c>
      <c r="J74" t="s">
        <v>7</v>
      </c>
      <c r="K74" t="str">
        <f t="shared" si="2"/>
        <v>GT</v>
      </c>
    </row>
    <row r="75" spans="3:11">
      <c r="C75" t="s">
        <v>49</v>
      </c>
      <c r="D75" t="s">
        <v>20</v>
      </c>
      <c r="E75" t="s">
        <v>36</v>
      </c>
      <c r="F75" t="s">
        <v>22</v>
      </c>
      <c r="G75">
        <v>1</v>
      </c>
      <c r="H75">
        <v>2030</v>
      </c>
      <c r="I75" s="149">
        <v>11138.41</v>
      </c>
      <c r="J75" t="s">
        <v>7</v>
      </c>
      <c r="K75" t="str">
        <f t="shared" si="2"/>
        <v>GT CHP</v>
      </c>
    </row>
    <row r="76" spans="3:11">
      <c r="C76" t="s">
        <v>49</v>
      </c>
      <c r="D76" t="s">
        <v>20</v>
      </c>
      <c r="E76" t="s">
        <v>37</v>
      </c>
      <c r="F76" t="s">
        <v>22</v>
      </c>
      <c r="G76">
        <v>1</v>
      </c>
      <c r="H76">
        <v>2030</v>
      </c>
      <c r="I76" s="149">
        <v>109653.91</v>
      </c>
      <c r="J76" t="s">
        <v>7</v>
      </c>
      <c r="K76" t="str">
        <f t="shared" si="2"/>
        <v>Offshore Wind</v>
      </c>
    </row>
    <row r="77" spans="3:11">
      <c r="C77" t="s">
        <v>49</v>
      </c>
      <c r="D77" t="s">
        <v>20</v>
      </c>
      <c r="E77" t="s">
        <v>38</v>
      </c>
      <c r="F77" t="s">
        <v>22</v>
      </c>
      <c r="G77">
        <v>1</v>
      </c>
      <c r="H77">
        <v>2030</v>
      </c>
      <c r="I77" s="149">
        <v>50210.52</v>
      </c>
      <c r="J77" t="s">
        <v>7</v>
      </c>
      <c r="K77" t="str">
        <f t="shared" si="2"/>
        <v>Onshore Wind</v>
      </c>
    </row>
    <row r="78" spans="3:11">
      <c r="C78" t="s">
        <v>49</v>
      </c>
      <c r="D78" t="s">
        <v>20</v>
      </c>
      <c r="E78" t="s">
        <v>39</v>
      </c>
      <c r="F78" t="s">
        <v>22</v>
      </c>
      <c r="G78">
        <v>1</v>
      </c>
      <c r="H78">
        <v>2030</v>
      </c>
      <c r="I78" s="149">
        <v>1651.79</v>
      </c>
      <c r="J78" t="s">
        <v>7</v>
      </c>
      <c r="K78" t="str">
        <f t="shared" si="2"/>
        <v>Pumped Hydro</v>
      </c>
    </row>
    <row r="79" spans="3:11">
      <c r="C79" t="s">
        <v>49</v>
      </c>
      <c r="D79" t="s">
        <v>20</v>
      </c>
      <c r="E79" t="s">
        <v>40</v>
      </c>
      <c r="F79" t="s">
        <v>22</v>
      </c>
      <c r="G79">
        <v>1</v>
      </c>
      <c r="H79">
        <v>2030</v>
      </c>
      <c r="I79" s="149">
        <v>751.12</v>
      </c>
      <c r="J79" t="s">
        <v>7</v>
      </c>
      <c r="K79" t="str">
        <f t="shared" si="2"/>
        <v>Reservoir Hydro</v>
      </c>
    </row>
    <row r="80" spans="3:11">
      <c r="C80" t="s">
        <v>49</v>
      </c>
      <c r="D80" t="s">
        <v>20</v>
      </c>
      <c r="E80" t="s">
        <v>41</v>
      </c>
      <c r="F80" t="s">
        <v>22</v>
      </c>
      <c r="G80">
        <v>1</v>
      </c>
      <c r="H80">
        <v>2030</v>
      </c>
      <c r="I80" s="149">
        <v>2748.7</v>
      </c>
      <c r="J80" t="s">
        <v>7</v>
      </c>
      <c r="K80" t="str">
        <f t="shared" si="2"/>
        <v>Small-Scale-Hydro</v>
      </c>
    </row>
    <row r="81" spans="3:11">
      <c r="C81" t="s">
        <v>49</v>
      </c>
      <c r="D81" t="s">
        <v>20</v>
      </c>
      <c r="E81" t="s">
        <v>42</v>
      </c>
      <c r="F81" t="s">
        <v>22</v>
      </c>
      <c r="G81">
        <v>1</v>
      </c>
      <c r="H81">
        <v>2030</v>
      </c>
      <c r="I81" s="149">
        <v>0.48</v>
      </c>
      <c r="J81" t="s">
        <v>7</v>
      </c>
      <c r="K81" t="str">
        <f t="shared" si="2"/>
        <v>Steam Oil</v>
      </c>
    </row>
    <row r="82" spans="3:11">
      <c r="C82" t="s">
        <v>49</v>
      </c>
      <c r="D82" t="s">
        <v>20</v>
      </c>
      <c r="E82" t="s">
        <v>43</v>
      </c>
      <c r="F82" t="s">
        <v>22</v>
      </c>
      <c r="G82">
        <v>1</v>
      </c>
      <c r="H82">
        <v>2030</v>
      </c>
      <c r="I82" s="149">
        <v>103.23</v>
      </c>
      <c r="J82" t="s">
        <v>7</v>
      </c>
      <c r="K82" t="str">
        <f t="shared" si="2"/>
        <v>Tidal Range</v>
      </c>
    </row>
    <row r="83" spans="3:11">
      <c r="C83" t="s">
        <v>49</v>
      </c>
      <c r="D83" t="s">
        <v>20</v>
      </c>
      <c r="E83" t="s">
        <v>46</v>
      </c>
      <c r="F83" t="s">
        <v>22</v>
      </c>
      <c r="G83">
        <v>1</v>
      </c>
      <c r="H83">
        <v>2030</v>
      </c>
      <c r="I83" s="149">
        <v>795.72</v>
      </c>
      <c r="J83" t="s">
        <v>7</v>
      </c>
      <c r="K83" t="str">
        <f t="shared" si="2"/>
        <v>Aggregated Small CHP Gas</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170C8-A1D2-490B-AC0B-66A133017162}">
  <sheetPr codeName="Sheet21"/>
  <dimension ref="C1:N42"/>
  <sheetViews>
    <sheetView workbookViewId="0"/>
  </sheetViews>
  <sheetFormatPr defaultRowHeight="14"/>
  <cols>
    <col min="1" max="1" width="1.75" customWidth="1"/>
    <col min="3" max="3" width="23.75" bestFit="1" customWidth="1"/>
    <col min="4" max="4" width="10.25" customWidth="1"/>
    <col min="5" max="5" width="21.25" bestFit="1" customWidth="1"/>
    <col min="6" max="6" width="21.25" customWidth="1"/>
    <col min="7" max="7" width="16.75" bestFit="1" customWidth="1"/>
    <col min="8" max="9" width="17.25" customWidth="1"/>
    <col min="10" max="10" width="26.75" bestFit="1" customWidth="1"/>
    <col min="11" max="11" width="23" customWidth="1"/>
    <col min="13" max="13" width="9.25" bestFit="1" customWidth="1"/>
  </cols>
  <sheetData>
    <row r="1" spans="3:14" ht="10.4" customHeight="1"/>
    <row r="3" spans="3:14">
      <c r="D3" s="51"/>
      <c r="E3" s="51" t="s">
        <v>423</v>
      </c>
      <c r="F3" s="51" t="s">
        <v>424</v>
      </c>
      <c r="G3" s="51" t="s">
        <v>234</v>
      </c>
      <c r="H3" s="51" t="s">
        <v>56</v>
      </c>
      <c r="I3" s="51" t="s">
        <v>425</v>
      </c>
      <c r="J3" s="51" t="s">
        <v>426</v>
      </c>
      <c r="K3" s="51" t="s">
        <v>427</v>
      </c>
    </row>
    <row r="4" spans="3:14">
      <c r="D4" s="50" t="s">
        <v>428</v>
      </c>
      <c r="E4" s="50" t="s">
        <v>81</v>
      </c>
      <c r="F4" s="50" t="s">
        <v>81</v>
      </c>
      <c r="G4" s="50" t="s">
        <v>291</v>
      </c>
      <c r="H4" s="50" t="s">
        <v>57</v>
      </c>
      <c r="I4" s="50" t="s">
        <v>81</v>
      </c>
      <c r="J4" s="50" t="s">
        <v>81</v>
      </c>
      <c r="K4" s="50" t="s">
        <v>81</v>
      </c>
    </row>
    <row r="5" spans="3:14">
      <c r="C5" s="5" t="s">
        <v>429</v>
      </c>
    </row>
    <row r="6" spans="3:14">
      <c r="C6" s="105" t="s">
        <v>211</v>
      </c>
      <c r="D6" t="s">
        <v>49</v>
      </c>
      <c r="E6" s="121">
        <f>Network!$D$33</f>
        <v>27809.8675</v>
      </c>
      <c r="F6" s="121">
        <f>E6/6</f>
        <v>4634.9779166666667</v>
      </c>
      <c r="G6">
        <f>Network!$C$24</f>
        <v>45</v>
      </c>
      <c r="H6" s="14">
        <f>Network!$E$17</f>
        <v>4.0620000000000003E-2</v>
      </c>
      <c r="I6" s="121">
        <f>-PMT(H6,G6,E6)</f>
        <v>1355.5664716764404</v>
      </c>
      <c r="J6" s="121">
        <f>INDEX(Network!$F$55:$F$57, MATCH(D6, Network!$D$45:$D$47, 0))</f>
        <v>274.12461060420435</v>
      </c>
      <c r="K6" s="46">
        <f>I6+J6</f>
        <v>1629.6910822806449</v>
      </c>
    </row>
    <row r="7" spans="3:14">
      <c r="C7" s="105" t="s">
        <v>211</v>
      </c>
      <c r="D7" t="s">
        <v>19</v>
      </c>
      <c r="E7" s="121">
        <f>Network!$D$32</f>
        <v>28101.297500000001</v>
      </c>
      <c r="F7" s="121">
        <f t="shared" ref="F7:F14" si="0">E7/6</f>
        <v>4683.5495833333334</v>
      </c>
      <c r="G7">
        <f>Network!$C$24</f>
        <v>45</v>
      </c>
      <c r="H7" s="14">
        <f>Network!$E$17</f>
        <v>4.0620000000000003E-2</v>
      </c>
      <c r="I7" s="121">
        <f t="shared" ref="I7:I8" si="1">-PMT(H7,G7,E7)</f>
        <v>1369.771959596894</v>
      </c>
      <c r="J7" s="121">
        <f>INDEX(Network!$F$55:$F$57, MATCH(D7, Network!$D$45:$D$47, 0))</f>
        <v>267.89668691922799</v>
      </c>
      <c r="K7" s="46">
        <f t="shared" ref="K7:K8" si="2">I7+J7</f>
        <v>1637.668646516122</v>
      </c>
    </row>
    <row r="8" spans="3:14">
      <c r="C8" s="105" t="s">
        <v>211</v>
      </c>
      <c r="D8" t="s">
        <v>48</v>
      </c>
      <c r="E8" s="121">
        <f>Network!$D$32</f>
        <v>28101.297500000001</v>
      </c>
      <c r="F8" s="121">
        <f t="shared" si="0"/>
        <v>4683.5495833333334</v>
      </c>
      <c r="G8">
        <f>Network!$C$24</f>
        <v>45</v>
      </c>
      <c r="H8" s="14">
        <f>Network!$E$17</f>
        <v>4.0620000000000003E-2</v>
      </c>
      <c r="I8" s="121">
        <f t="shared" si="1"/>
        <v>1369.771959596894</v>
      </c>
      <c r="J8" s="121">
        <f>INDEX(Network!$F$55:$F$57, MATCH(D8, Network!$D$45:$D$47, 0))</f>
        <v>267.89668691922799</v>
      </c>
      <c r="K8" s="46">
        <f t="shared" si="2"/>
        <v>1637.668646516122</v>
      </c>
    </row>
    <row r="9" spans="3:14">
      <c r="C9" s="105"/>
      <c r="E9" s="121"/>
      <c r="F9" s="121"/>
      <c r="H9" s="14"/>
      <c r="I9" s="121"/>
      <c r="J9" s="121"/>
      <c r="K9" s="46"/>
    </row>
    <row r="10" spans="3:14">
      <c r="C10" s="105" t="s">
        <v>430</v>
      </c>
      <c r="E10" s="17">
        <f>Network!N114</f>
        <v>20317.603722109525</v>
      </c>
      <c r="F10" s="121">
        <f t="shared" si="0"/>
        <v>3386.2672870182541</v>
      </c>
      <c r="G10">
        <f>Network!C74</f>
        <v>45</v>
      </c>
      <c r="H10" s="14">
        <f>Network!C75</f>
        <v>3.2599999999999997E-2</v>
      </c>
      <c r="I10" s="17">
        <f>-PMT(H10,G10,E10)</f>
        <v>867.04327658743443</v>
      </c>
      <c r="J10" s="17">
        <f>Network!K108*('XR&amp;Inflation'!I24/'XR&amp;Inflation'!I21)</f>
        <v>957.34745689655188</v>
      </c>
      <c r="K10" s="46">
        <f>I10+J10</f>
        <v>1824.3907334839864</v>
      </c>
    </row>
    <row r="11" spans="3:14">
      <c r="C11" s="105"/>
      <c r="E11" s="17"/>
      <c r="F11" s="121"/>
      <c r="H11" s="14"/>
      <c r="I11" s="17"/>
      <c r="J11" s="17"/>
      <c r="K11" s="46"/>
    </row>
    <row r="12" spans="3:14">
      <c r="C12" s="105" t="s">
        <v>431</v>
      </c>
      <c r="D12" t="s">
        <v>49</v>
      </c>
      <c r="E12" s="17">
        <f>'Offshore network costs'!D9</f>
        <v>13960.220985737282</v>
      </c>
      <c r="F12" s="121">
        <f t="shared" si="0"/>
        <v>2326.7034976228801</v>
      </c>
      <c r="G12">
        <f>G$6</f>
        <v>45</v>
      </c>
      <c r="H12" s="122">
        <f t="shared" ref="H12:H14" si="3">H$6</f>
        <v>4.0620000000000003E-2</v>
      </c>
      <c r="I12" s="121">
        <f>-PMT(H12,G12,E12)*'Offshore network costs'!$H$7</f>
        <v>544.38252912810287</v>
      </c>
      <c r="J12" s="17">
        <f>-PMT(H12,G12,E12)*'Offshore network costs'!$I$7*'Offshore network costs'!L14</f>
        <v>210.86856481219434</v>
      </c>
      <c r="K12" s="46">
        <f>I12+J12</f>
        <v>755.25109394029721</v>
      </c>
      <c r="M12" s="108"/>
      <c r="N12" s="108"/>
    </row>
    <row r="13" spans="3:14">
      <c r="C13" s="105" t="s">
        <v>431</v>
      </c>
      <c r="D13" t="s">
        <v>19</v>
      </c>
      <c r="E13" s="17">
        <f>'Offshore network costs'!D10</f>
        <v>37883.267826980642</v>
      </c>
      <c r="F13" s="121">
        <f t="shared" si="0"/>
        <v>6313.8779711634406</v>
      </c>
      <c r="G13">
        <f t="shared" ref="G13:G14" si="4">G$6</f>
        <v>45</v>
      </c>
      <c r="H13" s="122">
        <f t="shared" si="3"/>
        <v>4.0620000000000003E-2</v>
      </c>
      <c r="I13" s="121">
        <f>-PMT(H13,G13,E13)*'Offshore network costs'!$H$7</f>
        <v>1477.2681014404334</v>
      </c>
      <c r="J13" s="17">
        <f>-PMT(H13,G13,E13)*'Offshore network costs'!$I$7*'Offshore network costs'!L15</f>
        <v>483.81538105454695</v>
      </c>
      <c r="K13" s="46">
        <f t="shared" ref="K13:K14" si="5">I13+J13</f>
        <v>1961.0834824949802</v>
      </c>
    </row>
    <row r="14" spans="3:14">
      <c r="C14" s="105" t="s">
        <v>431</v>
      </c>
      <c r="D14" t="s">
        <v>48</v>
      </c>
      <c r="E14" s="17">
        <f>'Offshore network costs'!D11</f>
        <v>29720.473602520204</v>
      </c>
      <c r="F14" s="121">
        <f t="shared" si="0"/>
        <v>4953.4122670867009</v>
      </c>
      <c r="G14">
        <f t="shared" si="4"/>
        <v>45</v>
      </c>
      <c r="H14" s="122">
        <f t="shared" si="3"/>
        <v>4.0620000000000003E-2</v>
      </c>
      <c r="I14" s="121">
        <f>-PMT(H14,G14,E14)*'Offshore network costs'!$H$7</f>
        <v>1158.9577703071359</v>
      </c>
      <c r="J14" s="17">
        <f>-PMT(H14,G14,E14)*'Offshore network costs'!$I$7*'Offshore network costs'!L16</f>
        <v>395.25332450254371</v>
      </c>
      <c r="K14" s="46">
        <f t="shared" si="5"/>
        <v>1554.2110948096797</v>
      </c>
    </row>
    <row r="15" spans="3:14">
      <c r="C15" s="105"/>
      <c r="E15" s="17"/>
      <c r="F15" s="17"/>
      <c r="H15" s="14"/>
      <c r="I15" s="17"/>
      <c r="J15" s="17"/>
      <c r="K15" s="46"/>
    </row>
    <row r="16" spans="3:14">
      <c r="C16" s="105"/>
      <c r="E16" s="17"/>
      <c r="F16" s="17"/>
      <c r="H16" s="14"/>
      <c r="I16" s="17"/>
      <c r="J16" s="17"/>
      <c r="K16" s="46"/>
    </row>
    <row r="18" spans="3:11">
      <c r="D18" s="51"/>
      <c r="E18" s="51" t="s">
        <v>432</v>
      </c>
      <c r="F18" s="51"/>
      <c r="G18" s="51" t="s">
        <v>433</v>
      </c>
      <c r="H18" s="51"/>
      <c r="I18" s="51"/>
      <c r="J18" s="51" t="s">
        <v>426</v>
      </c>
      <c r="K18" s="51" t="s">
        <v>427</v>
      </c>
    </row>
    <row r="19" spans="3:11">
      <c r="D19" s="50" t="s">
        <v>428</v>
      </c>
      <c r="E19" s="50" t="s">
        <v>434</v>
      </c>
      <c r="F19" s="50"/>
      <c r="G19" s="50" t="s">
        <v>435</v>
      </c>
      <c r="H19" s="50"/>
      <c r="I19" s="50"/>
      <c r="J19" s="50" t="s">
        <v>81</v>
      </c>
      <c r="K19" s="50" t="s">
        <v>81</v>
      </c>
    </row>
    <row r="20" spans="3:11">
      <c r="C20" s="5" t="s">
        <v>436</v>
      </c>
      <c r="D20" s="10"/>
      <c r="E20" s="10"/>
      <c r="F20" s="10"/>
      <c r="G20" s="10"/>
      <c r="J20" s="10"/>
      <c r="K20" s="10"/>
    </row>
    <row r="21" spans="3:11">
      <c r="D21" s="10"/>
      <c r="E21" s="10"/>
      <c r="F21" s="10"/>
      <c r="G21" s="10"/>
      <c r="J21" s="10"/>
      <c r="K21" s="10"/>
    </row>
    <row r="22" spans="3:11">
      <c r="C22" s="105" t="s">
        <v>437</v>
      </c>
      <c r="D22" s="105" t="s">
        <v>49</v>
      </c>
      <c r="E22" s="12">
        <f>'CO2&amp;H2'!$F$14</f>
        <v>18.760604791688753</v>
      </c>
      <c r="F22" s="12"/>
      <c r="G22" s="46">
        <f>EmissionsCaptured!D16</f>
        <v>0</v>
      </c>
      <c r="J22" s="46">
        <f>(E22*G22)/10^6</f>
        <v>0</v>
      </c>
      <c r="K22" s="46">
        <f>J22</f>
        <v>0</v>
      </c>
    </row>
    <row r="23" spans="3:11">
      <c r="C23" s="105" t="s">
        <v>437</v>
      </c>
      <c r="D23" s="105" t="s">
        <v>19</v>
      </c>
      <c r="E23" s="12">
        <f>'CO2&amp;H2'!$F$14</f>
        <v>18.760604791688753</v>
      </c>
      <c r="F23" s="12"/>
      <c r="G23" s="46">
        <f>EmissionsCaptured!D14</f>
        <v>3443461.2</v>
      </c>
      <c r="J23" s="46">
        <f t="shared" ref="J23:J24" si="6">(E23*G23)/10^6</f>
        <v>64.6014146887143</v>
      </c>
      <c r="K23" s="46">
        <f t="shared" ref="K23:K24" si="7">J23</f>
        <v>64.6014146887143</v>
      </c>
    </row>
    <row r="24" spans="3:11">
      <c r="C24" s="105" t="s">
        <v>437</v>
      </c>
      <c r="D24" s="105" t="s">
        <v>48</v>
      </c>
      <c r="E24" s="12">
        <f>'CO2&amp;H2'!$F$14</f>
        <v>18.760604791688753</v>
      </c>
      <c r="F24" s="12"/>
      <c r="G24" s="46">
        <f>EmissionsCaptured!D15</f>
        <v>9213553.9188000001</v>
      </c>
      <c r="J24" s="46">
        <f t="shared" si="6"/>
        <v>172.85184379752198</v>
      </c>
      <c r="K24" s="46">
        <f t="shared" si="7"/>
        <v>172.85184379752198</v>
      </c>
    </row>
    <row r="26" spans="3:11">
      <c r="C26" t="s">
        <v>438</v>
      </c>
      <c r="D26" t="s">
        <v>49</v>
      </c>
      <c r="E26" s="13">
        <f>'CO2&amp;H2'!$F$15</f>
        <v>78.194650817236251</v>
      </c>
      <c r="F26" s="13"/>
      <c r="G26" s="13">
        <f>G22</f>
        <v>0</v>
      </c>
      <c r="H26" s="13"/>
      <c r="I26" s="13"/>
      <c r="J26" s="13">
        <f>(E26*G26)/10^6</f>
        <v>0</v>
      </c>
      <c r="K26" s="13">
        <f>J26</f>
        <v>0</v>
      </c>
    </row>
    <row r="27" spans="3:11">
      <c r="C27" t="s">
        <v>438</v>
      </c>
      <c r="D27" t="s">
        <v>19</v>
      </c>
      <c r="E27" s="13">
        <f>'CO2&amp;H2'!$F$15</f>
        <v>78.194650817236251</v>
      </c>
      <c r="F27" s="13"/>
      <c r="G27" s="13">
        <f>G23</f>
        <v>3443461.2</v>
      </c>
      <c r="H27" s="13"/>
      <c r="I27" s="13"/>
      <c r="J27" s="13">
        <f>(E27*G27)/10^6</f>
        <v>269.26024613670137</v>
      </c>
      <c r="K27" s="13">
        <f t="shared" ref="K27:K28" si="8">J27</f>
        <v>269.26024613670137</v>
      </c>
    </row>
    <row r="28" spans="3:11">
      <c r="C28" t="s">
        <v>438</v>
      </c>
      <c r="D28" t="s">
        <v>48</v>
      </c>
      <c r="E28" s="13">
        <f>'CO2&amp;H2'!$F$15</f>
        <v>78.194650817236251</v>
      </c>
      <c r="F28" s="13"/>
      <c r="G28" s="13">
        <f>G24</f>
        <v>9213553.9188000001</v>
      </c>
      <c r="H28" s="13"/>
      <c r="I28" s="13"/>
      <c r="J28" s="13">
        <f t="shared" ref="J28" si="9">(E28*G28)/10^6</f>
        <v>720.4506314663447</v>
      </c>
      <c r="K28" s="13">
        <f t="shared" si="8"/>
        <v>720.4506314663447</v>
      </c>
    </row>
    <row r="31" spans="3:11">
      <c r="K31" s="46"/>
    </row>
    <row r="32" spans="3:11">
      <c r="D32" s="51"/>
      <c r="E32" s="51" t="s">
        <v>423</v>
      </c>
      <c r="F32" s="51" t="s">
        <v>292</v>
      </c>
      <c r="G32" s="51"/>
      <c r="H32" s="51"/>
      <c r="I32" s="51"/>
      <c r="J32" s="51" t="s">
        <v>426</v>
      </c>
      <c r="K32" s="51" t="s">
        <v>427</v>
      </c>
    </row>
    <row r="33" spans="3:11">
      <c r="D33" s="50" t="s">
        <v>428</v>
      </c>
      <c r="E33" s="50" t="s">
        <v>81</v>
      </c>
      <c r="F33" s="50" t="s">
        <v>81</v>
      </c>
      <c r="G33" s="50"/>
      <c r="H33" s="50"/>
      <c r="I33" s="50"/>
      <c r="J33" s="50" t="s">
        <v>81</v>
      </c>
      <c r="K33" s="50" t="s">
        <v>81</v>
      </c>
    </row>
    <row r="34" spans="3:11">
      <c r="C34" s="5" t="s">
        <v>439</v>
      </c>
      <c r="D34" s="10"/>
      <c r="E34" s="10"/>
      <c r="F34" s="10"/>
      <c r="G34" s="10"/>
      <c r="J34" s="10"/>
      <c r="K34" s="10"/>
    </row>
    <row r="35" spans="3:11">
      <c r="D35" s="10"/>
      <c r="E35" s="10"/>
      <c r="F35" s="10"/>
      <c r="G35" s="10"/>
      <c r="J35" s="10"/>
      <c r="K35" s="10"/>
    </row>
    <row r="36" spans="3:11">
      <c r="C36" s="105"/>
      <c r="D36" s="105" t="s">
        <v>49</v>
      </c>
      <c r="E36" s="12">
        <f>'CO2&amp;H2'!E32</f>
        <v>0</v>
      </c>
      <c r="F36" s="12">
        <f>'CO2&amp;H2'!E35</f>
        <v>0</v>
      </c>
      <c r="G36" s="12"/>
      <c r="H36" s="12"/>
      <c r="I36" s="12"/>
      <c r="J36" s="12">
        <f>'CO2&amp;H2'!E37</f>
        <v>0</v>
      </c>
      <c r="K36" s="12">
        <f>F36+J36</f>
        <v>0</v>
      </c>
    </row>
    <row r="37" spans="3:11">
      <c r="C37" s="105"/>
      <c r="D37" s="105" t="s">
        <v>19</v>
      </c>
      <c r="E37" s="12">
        <f>'CO2&amp;H2'!F32</f>
        <v>24.5</v>
      </c>
      <c r="F37" s="12">
        <f>'CO2&amp;H2'!F35</f>
        <v>2.6951217950749937</v>
      </c>
      <c r="G37" s="12"/>
      <c r="H37" s="12"/>
      <c r="I37" s="12"/>
      <c r="J37" s="12">
        <f>'CO2&amp;H2'!F37</f>
        <v>0.31</v>
      </c>
      <c r="K37" s="12">
        <f>F37+J37</f>
        <v>3.0051217950749938</v>
      </c>
    </row>
    <row r="38" spans="3:11">
      <c r="C38" s="105"/>
      <c r="D38" s="105" t="s">
        <v>48</v>
      </c>
      <c r="E38" s="12">
        <f>'CO2&amp;H2'!G32</f>
        <v>24.5</v>
      </c>
      <c r="F38" s="12">
        <f>'CO2&amp;H2'!G35</f>
        <v>2.6951217950749937</v>
      </c>
      <c r="G38" s="12"/>
      <c r="H38" s="12"/>
      <c r="I38" s="12"/>
      <c r="J38" s="12">
        <f>'CO2&amp;H2'!G37</f>
        <v>0.31</v>
      </c>
      <c r="K38" s="12">
        <f>F38+J38</f>
        <v>3.0051217950749938</v>
      </c>
    </row>
    <row r="40" spans="3:11">
      <c r="E40" s="13"/>
      <c r="F40" s="13"/>
      <c r="G40" s="13"/>
      <c r="H40" s="13"/>
      <c r="I40" s="13"/>
      <c r="J40" s="13"/>
      <c r="K40" s="13"/>
    </row>
    <row r="41" spans="3:11">
      <c r="E41" s="13"/>
      <c r="F41" s="13"/>
      <c r="G41" s="13"/>
      <c r="H41" s="13"/>
      <c r="I41" s="13"/>
      <c r="J41" s="13"/>
      <c r="K41" s="13"/>
    </row>
    <row r="42" spans="3:11">
      <c r="E42" s="13"/>
      <c r="F42" s="13"/>
      <c r="G42" s="13"/>
      <c r="H42" s="13"/>
      <c r="I42" s="13"/>
      <c r="J42" s="13"/>
      <c r="K42" s="13"/>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FF695-0FCA-4EE3-A4DF-36E4DE4B8F1F}">
  <sheetPr codeName="Sheet22"/>
  <dimension ref="B3:E18"/>
  <sheetViews>
    <sheetView workbookViewId="0"/>
  </sheetViews>
  <sheetFormatPr defaultRowHeight="14"/>
  <cols>
    <col min="2" max="2" width="11.25" customWidth="1"/>
  </cols>
  <sheetData>
    <row r="3" spans="2:5">
      <c r="B3" s="5" t="s">
        <v>440</v>
      </c>
    </row>
    <row r="4" spans="2:5">
      <c r="C4" s="36"/>
      <c r="D4" s="36"/>
      <c r="E4" s="36"/>
    </row>
    <row r="5" spans="2:5">
      <c r="C5" s="51" t="s">
        <v>49</v>
      </c>
      <c r="D5" s="51" t="s">
        <v>19</v>
      </c>
      <c r="E5" s="51" t="s">
        <v>48</v>
      </c>
    </row>
    <row r="6" spans="2:5">
      <c r="C6" s="50" t="s">
        <v>81</v>
      </c>
      <c r="D6" s="50" t="s">
        <v>81</v>
      </c>
      <c r="E6" s="50" t="s">
        <v>81</v>
      </c>
    </row>
    <row r="7" spans="2:5">
      <c r="B7" t="s">
        <v>208</v>
      </c>
      <c r="C7" s="13">
        <f>ConstraintInputs!D11</f>
        <v>2476.2720442727023</v>
      </c>
      <c r="D7" s="13">
        <f>ConstraintInputs!D14</f>
        <v>3330.8099030902586</v>
      </c>
      <c r="E7" s="13">
        <f>ConstraintInputs!D17</f>
        <v>2661.4568742360598</v>
      </c>
    </row>
    <row r="8" spans="2:5">
      <c r="B8" t="s">
        <v>441</v>
      </c>
      <c r="C8">
        <f>ConstraintInputs!$C$50</f>
        <v>83</v>
      </c>
      <c r="D8">
        <f>ConstraintInputs!$C$50</f>
        <v>83</v>
      </c>
      <c r="E8">
        <f>ConstraintInputs!$C$50</f>
        <v>83</v>
      </c>
    </row>
    <row r="9" spans="2:5">
      <c r="B9" t="s">
        <v>442</v>
      </c>
      <c r="C9">
        <f>ConstraintInputs!$C$49</f>
        <v>268</v>
      </c>
      <c r="D9">
        <f>ConstraintInputs!$C$49</f>
        <v>268</v>
      </c>
      <c r="E9">
        <f>ConstraintInputs!$C$49</f>
        <v>268</v>
      </c>
    </row>
    <row r="10" spans="2:5">
      <c r="B10" s="5" t="s">
        <v>117</v>
      </c>
      <c r="C10" s="41">
        <f>SUM(C7:C9)</f>
        <v>2827.2720442727023</v>
      </c>
      <c r="D10" s="41">
        <f>SUM(D7:D9)</f>
        <v>3681.8099030902586</v>
      </c>
      <c r="E10" s="41">
        <f t="shared" ref="E10" si="0">SUM(E7:E9)</f>
        <v>3012.4568742360598</v>
      </c>
    </row>
    <row r="13" spans="2:5">
      <c r="B13" s="5"/>
    </row>
    <row r="15" spans="2:5">
      <c r="C15" s="13"/>
      <c r="D15" s="13"/>
      <c r="E15" s="13"/>
    </row>
    <row r="18" spans="2:5">
      <c r="B18" s="5"/>
      <c r="C18" s="41"/>
      <c r="D18" s="41"/>
      <c r="E18" s="41"/>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CC45A-E0E9-4D32-8BA6-183C07AFE6C8}">
  <sheetPr codeName="Sheet23"/>
  <dimension ref="B1:T77"/>
  <sheetViews>
    <sheetView topLeftCell="A28" workbookViewId="0"/>
  </sheetViews>
  <sheetFormatPr defaultRowHeight="14"/>
  <cols>
    <col min="2" max="2" width="22.25" customWidth="1"/>
    <col min="3" max="5" width="12.75" customWidth="1"/>
    <col min="7" max="7" width="22.25" customWidth="1"/>
    <col min="8" max="10" width="12.75" customWidth="1"/>
  </cols>
  <sheetData>
    <row r="1" spans="2:20">
      <c r="R1" s="12"/>
      <c r="S1" s="12"/>
      <c r="T1" s="12"/>
    </row>
    <row r="2" spans="2:20">
      <c r="B2" s="192" t="s">
        <v>443</v>
      </c>
      <c r="C2" s="192"/>
      <c r="D2" s="192"/>
      <c r="E2" s="192"/>
      <c r="G2" s="192" t="s">
        <v>444</v>
      </c>
      <c r="H2" s="192"/>
      <c r="I2" s="192"/>
      <c r="J2" s="192"/>
      <c r="R2" s="12"/>
      <c r="S2" s="12"/>
      <c r="T2" s="12"/>
    </row>
    <row r="3" spans="2:20">
      <c r="B3" s="5"/>
      <c r="C3" s="20" t="s">
        <v>19</v>
      </c>
      <c r="D3" s="20" t="s">
        <v>48</v>
      </c>
      <c r="E3" s="20" t="s">
        <v>49</v>
      </c>
      <c r="G3" s="5"/>
      <c r="H3" s="20" t="s">
        <v>19</v>
      </c>
      <c r="I3" s="20" t="s">
        <v>48</v>
      </c>
      <c r="J3" s="20" t="s">
        <v>49</v>
      </c>
      <c r="R3" s="12"/>
      <c r="S3" s="12"/>
      <c r="T3" s="12"/>
    </row>
    <row r="4" spans="2:20">
      <c r="B4" s="182" t="s">
        <v>445</v>
      </c>
      <c r="C4" s="13">
        <f>GenerationSpend!AK38</f>
        <v>26208.054034356799</v>
      </c>
      <c r="D4" s="13">
        <f>GenerationSpend!AL38</f>
        <v>24438.1634669919</v>
      </c>
      <c r="E4" s="13">
        <f>GenerationSpend!AM38</f>
        <v>15108.723819078959</v>
      </c>
      <c r="G4" s="182" t="s">
        <v>445</v>
      </c>
      <c r="H4" s="12">
        <f t="shared" ref="H4:J9" si="0">C4/C$14</f>
        <v>85.954114065271582</v>
      </c>
      <c r="I4" s="12">
        <f t="shared" si="0"/>
        <v>80.549662457021526</v>
      </c>
      <c r="J4" s="12">
        <f t="shared" si="0"/>
        <v>52.655984553447404</v>
      </c>
      <c r="R4" s="12"/>
      <c r="S4" s="12"/>
      <c r="T4" s="12"/>
    </row>
    <row r="5" spans="2:20">
      <c r="B5" s="182" t="s">
        <v>446</v>
      </c>
      <c r="C5" s="13">
        <f>INDEX(PlexosVOMs!$G$11:$G$13, MATCH(C3, PlexosVOMs!$B$11:$B$13, 0))</f>
        <v>3416.4492978005114</v>
      </c>
      <c r="D5" s="13">
        <f>INDEX(PlexosVOMs!$G$11:$G$13, MATCH(D3, PlexosVOMs!$B$11:$B$13, 0))</f>
        <v>4370.0024127706729</v>
      </c>
      <c r="E5" s="13">
        <f>INDEX(PlexosVOMs!$G$11:$G$13, MATCH(E3, PlexosVOMs!$B$11:$B$13, 0))</f>
        <v>5388.9075773231034</v>
      </c>
      <c r="G5" s="182" t="s">
        <v>446</v>
      </c>
      <c r="H5" s="12">
        <f t="shared" si="0"/>
        <v>11.204871306217496</v>
      </c>
      <c r="I5" s="12">
        <f t="shared" si="0"/>
        <v>14.403791829958463</v>
      </c>
      <c r="J5" s="12">
        <f t="shared" si="0"/>
        <v>18.781085520483039</v>
      </c>
      <c r="R5" s="12"/>
      <c r="S5" s="12"/>
      <c r="T5" s="12"/>
    </row>
    <row r="6" spans="2:20">
      <c r="B6" s="182" t="s">
        <v>447</v>
      </c>
      <c r="C6" s="13">
        <f>INDEX(PlexosVOMs!$F$11:$F$13, MATCH(C3, PlexosVOMs!$B$11:$B$13, 0))</f>
        <v>2336.8509520354646</v>
      </c>
      <c r="D6" s="13">
        <f>INDEX(PlexosVOMs!$F$11:$F$13, MATCH(D3, PlexosVOMs!$B$11:$B$13, 0))</f>
        <v>1831.1842304499999</v>
      </c>
      <c r="E6" s="13">
        <f>INDEX(PlexosVOMs!$F$11:$F$13, MATCH(E3, PlexosVOMs!$B$11:$B$13, 0))</f>
        <v>5501.4762969809462</v>
      </c>
      <c r="G6" s="182" t="s">
        <v>447</v>
      </c>
      <c r="H6" s="12">
        <f t="shared" si="0"/>
        <v>7.6641307676441688</v>
      </c>
      <c r="I6" s="12">
        <f t="shared" si="0"/>
        <v>6.0356937974735692</v>
      </c>
      <c r="J6" s="12">
        <f t="shared" si="0"/>
        <v>19.173403020920745</v>
      </c>
      <c r="R6" s="12"/>
      <c r="S6" s="12"/>
      <c r="T6" s="12"/>
    </row>
    <row r="7" spans="2:20">
      <c r="B7" s="182" t="s">
        <v>448</v>
      </c>
      <c r="C7" s="13">
        <f>ConstraintCosts!D10</f>
        <v>3681.8099030902586</v>
      </c>
      <c r="D7" s="13">
        <f>ConstraintCosts!E10</f>
        <v>3012.4568742360598</v>
      </c>
      <c r="E7" s="13">
        <f>ConstraintCosts!C10</f>
        <v>2827.2720442727023</v>
      </c>
      <c r="G7" s="182" t="s">
        <v>448</v>
      </c>
      <c r="H7" s="12">
        <f t="shared" si="0"/>
        <v>12.075170020712045</v>
      </c>
      <c r="I7" s="12">
        <f t="shared" si="0"/>
        <v>9.9292397611544772</v>
      </c>
      <c r="J7" s="12">
        <f t="shared" si="0"/>
        <v>9.8534326839454067</v>
      </c>
      <c r="R7" s="12"/>
      <c r="S7" s="12"/>
      <c r="T7" s="12"/>
    </row>
    <row r="8" spans="2:20">
      <c r="B8" s="182" t="s">
        <v>449</v>
      </c>
      <c r="C8" s="13">
        <f>ImportExport!E29</f>
        <v>-684.24926927288902</v>
      </c>
      <c r="D8" s="13">
        <f>ImportExport!E30</f>
        <v>-751.99014040409418</v>
      </c>
      <c r="E8" s="13">
        <f>ImportExport!E31</f>
        <v>895.23444160272811</v>
      </c>
      <c r="G8" s="182" t="s">
        <v>449</v>
      </c>
      <c r="H8" s="12">
        <f t="shared" si="0"/>
        <v>-2.2441208211437531</v>
      </c>
      <c r="I8" s="12">
        <f t="shared" si="0"/>
        <v>-2.4786049108138606</v>
      </c>
      <c r="J8" s="12">
        <f t="shared" si="0"/>
        <v>3.1200153959542711</v>
      </c>
    </row>
    <row r="9" spans="2:20" ht="14.9" customHeight="1">
      <c r="B9" s="182" t="s">
        <v>450</v>
      </c>
      <c r="C9" s="13">
        <f>NetworkSpend!K7+NetworkSpend!$K$10+NetworkSpend!K13+NetworkSpend!K23+NetworkSpend!K37</f>
        <v>5490.7493989788782</v>
      </c>
      <c r="D9" s="13">
        <f>NetworkSpend!K8+NetworkSpend!$K$10+NetworkSpend!K14+NetworkSpend!K24+NetworkSpend!K38</f>
        <v>5192.1274404023843</v>
      </c>
      <c r="E9" s="13">
        <f>NetworkSpend!K6+NetworkSpend!$K$10+NetworkSpend!K12+NetworkSpend!K22+NetworkSpend!K36</f>
        <v>4209.3329097049282</v>
      </c>
      <c r="G9" s="182" t="s">
        <v>450</v>
      </c>
      <c r="H9" s="12">
        <f t="shared" si="0"/>
        <v>18.007918463727123</v>
      </c>
      <c r="I9" s="12">
        <f t="shared" si="0"/>
        <v>17.113565564087395</v>
      </c>
      <c r="J9" s="12">
        <f t="shared" si="0"/>
        <v>14.670105253618456</v>
      </c>
      <c r="R9" s="12"/>
      <c r="S9" s="12"/>
      <c r="T9" s="12"/>
    </row>
    <row r="10" spans="2:20" ht="14.9" customHeight="1">
      <c r="B10" s="189" t="s">
        <v>117</v>
      </c>
      <c r="C10" s="191">
        <f>SUM(C4:C9)</f>
        <v>40449.664316989016</v>
      </c>
      <c r="D10" s="191">
        <f>SUM(D4:D9)</f>
        <v>38091.944284446923</v>
      </c>
      <c r="E10" s="191">
        <f>SUM(E4:E9)</f>
        <v>33930.947088963367</v>
      </c>
      <c r="G10" s="189" t="s">
        <v>117</v>
      </c>
      <c r="H10" s="190">
        <f>SUM(H4:H9)</f>
        <v>132.66208380242867</v>
      </c>
      <c r="I10" s="190">
        <f>SUM(I4:I9)</f>
        <v>125.55334849888158</v>
      </c>
      <c r="J10" s="190">
        <f>SUM(J4:J9)</f>
        <v>118.25402642836933</v>
      </c>
      <c r="R10" s="12"/>
      <c r="S10" s="12"/>
      <c r="T10" s="12"/>
    </row>
    <row r="11" spans="2:20" ht="14.9" customHeight="1">
      <c r="B11" s="189"/>
      <c r="C11" s="191"/>
      <c r="D11" s="191"/>
      <c r="E11" s="191"/>
      <c r="G11" s="189"/>
      <c r="H11" s="190"/>
      <c r="I11" s="190"/>
      <c r="J11" s="190"/>
      <c r="R11" s="12"/>
      <c r="S11" s="12"/>
      <c r="T11" s="12"/>
    </row>
    <row r="12" spans="2:20" ht="14.9" customHeight="1">
      <c r="B12" s="192" t="s">
        <v>451</v>
      </c>
      <c r="C12" s="192"/>
      <c r="D12" s="192"/>
      <c r="E12" s="192"/>
      <c r="G12" s="214" t="s">
        <v>452</v>
      </c>
      <c r="H12" s="215">
        <f>MIN(H28,H51)</f>
        <v>125.40023108051413</v>
      </c>
      <c r="I12" s="215">
        <f>MIN(I28,I51)</f>
        <v>120.18278866787348</v>
      </c>
      <c r="J12" s="215">
        <f>MIN(J28,J51)</f>
        <v>108.93307999524653</v>
      </c>
      <c r="R12" s="12"/>
      <c r="S12" s="12"/>
      <c r="T12" s="12"/>
    </row>
    <row r="13" spans="2:20" ht="14.9" customHeight="1">
      <c r="B13" s="5"/>
      <c r="C13" s="20" t="s">
        <v>19</v>
      </c>
      <c r="D13" s="20" t="s">
        <v>48</v>
      </c>
      <c r="E13" s="20" t="s">
        <v>49</v>
      </c>
      <c r="G13" s="214" t="s">
        <v>453</v>
      </c>
      <c r="H13" s="215">
        <f>MAX(H38,H61, H77)</f>
        <v>147.23502606074734</v>
      </c>
      <c r="I13" s="215">
        <f>MAX(I38,I61, I77)</f>
        <v>142.9746636707255</v>
      </c>
      <c r="J13" s="215">
        <f>MAX(J38,J61, J77)</f>
        <v>155.37159389430255</v>
      </c>
    </row>
    <row r="14" spans="2:20" ht="14.9" customHeight="1">
      <c r="C14" s="12">
        <v>304.90750000000003</v>
      </c>
      <c r="D14" s="12">
        <v>303.39249999999998</v>
      </c>
      <c r="E14" s="12">
        <v>286.93270000000001</v>
      </c>
    </row>
    <row r="15" spans="2:20" ht="14.9" customHeight="1">
      <c r="B15" t="s">
        <v>454</v>
      </c>
      <c r="D15" s="12"/>
      <c r="E15" s="12"/>
    </row>
    <row r="16" spans="2:20" ht="14.9" customHeight="1">
      <c r="C16" s="12"/>
      <c r="D16" s="12"/>
      <c r="E16" s="12"/>
    </row>
    <row r="17" spans="2:10" ht="14.9" customHeight="1">
      <c r="C17" s="12"/>
      <c r="D17" s="12"/>
      <c r="E17" s="12"/>
    </row>
    <row r="18" spans="2:10" ht="14.9" customHeight="1">
      <c r="B18" s="209" t="s">
        <v>455</v>
      </c>
      <c r="C18" s="209"/>
      <c r="D18" s="209"/>
      <c r="E18" s="209"/>
      <c r="F18" s="209"/>
      <c r="G18" s="209"/>
      <c r="H18" s="209"/>
      <c r="I18" s="209"/>
      <c r="J18" s="209"/>
    </row>
    <row r="20" spans="2:10">
      <c r="B20" s="192" t="s">
        <v>456</v>
      </c>
      <c r="C20" s="192"/>
      <c r="D20" s="192"/>
      <c r="E20" s="192"/>
      <c r="G20" s="192" t="s">
        <v>457</v>
      </c>
      <c r="H20" s="192"/>
      <c r="I20" s="192"/>
      <c r="J20" s="192"/>
    </row>
    <row r="21" spans="2:10">
      <c r="B21" s="5"/>
      <c r="C21" s="20" t="s">
        <v>19</v>
      </c>
      <c r="D21" s="20" t="s">
        <v>48</v>
      </c>
      <c r="E21" s="20" t="s">
        <v>49</v>
      </c>
      <c r="G21" s="5"/>
      <c r="H21" s="20" t="s">
        <v>19</v>
      </c>
      <c r="I21" s="20" t="s">
        <v>48</v>
      </c>
      <c r="J21" s="20" t="s">
        <v>49</v>
      </c>
    </row>
    <row r="22" spans="2:10">
      <c r="B22" s="182" t="s">
        <v>445</v>
      </c>
      <c r="C22" s="13">
        <f>GenerationSpend!AK75</f>
        <v>24389.70991196411</v>
      </c>
      <c r="D22" s="13">
        <f>GenerationSpend!AL75</f>
        <v>22808.775893462778</v>
      </c>
      <c r="E22" s="13">
        <f>GenerationSpend!AM75</f>
        <v>14564.447132469772</v>
      </c>
      <c r="G22" s="182" t="s">
        <v>445</v>
      </c>
      <c r="H22" s="12">
        <f t="shared" ref="H22:J27" si="1">C22/C$14</f>
        <v>79.990521426872434</v>
      </c>
      <c r="I22" s="12">
        <f t="shared" si="1"/>
        <v>75.179102626013432</v>
      </c>
      <c r="J22" s="12">
        <f t="shared" si="1"/>
        <v>50.759105297060152</v>
      </c>
    </row>
    <row r="23" spans="2:10">
      <c r="B23" s="182" t="s">
        <v>446</v>
      </c>
      <c r="C23" s="13">
        <f t="shared" ref="C23:E27" si="2">C5</f>
        <v>3416.4492978005114</v>
      </c>
      <c r="D23" s="13">
        <f t="shared" si="2"/>
        <v>4370.0024127706729</v>
      </c>
      <c r="E23" s="13">
        <f t="shared" si="2"/>
        <v>5388.9075773231034</v>
      </c>
      <c r="G23" s="182" t="s">
        <v>446</v>
      </c>
      <c r="H23" s="12">
        <f t="shared" si="1"/>
        <v>11.204871306217496</v>
      </c>
      <c r="I23" s="12">
        <f t="shared" si="1"/>
        <v>14.403791829958463</v>
      </c>
      <c r="J23" s="12">
        <f t="shared" si="1"/>
        <v>18.781085520483039</v>
      </c>
    </row>
    <row r="24" spans="2:10">
      <c r="B24" s="182" t="s">
        <v>447</v>
      </c>
      <c r="C24" s="13">
        <f t="shared" si="2"/>
        <v>2336.8509520354646</v>
      </c>
      <c r="D24" s="13">
        <f t="shared" si="2"/>
        <v>1831.1842304499999</v>
      </c>
      <c r="E24" s="13">
        <f t="shared" si="2"/>
        <v>5501.4762969809462</v>
      </c>
      <c r="G24" s="182" t="s">
        <v>447</v>
      </c>
      <c r="H24" s="12">
        <f t="shared" si="1"/>
        <v>7.6641307676441688</v>
      </c>
      <c r="I24" s="12">
        <f t="shared" si="1"/>
        <v>6.0356937974735692</v>
      </c>
      <c r="J24" s="12">
        <f t="shared" si="1"/>
        <v>19.173403020920745</v>
      </c>
    </row>
    <row r="25" spans="2:10">
      <c r="B25" s="182" t="s">
        <v>448</v>
      </c>
      <c r="C25" s="13">
        <f t="shared" si="2"/>
        <v>3681.8099030902586</v>
      </c>
      <c r="D25" s="13">
        <f t="shared" si="2"/>
        <v>3012.4568742360598</v>
      </c>
      <c r="E25" s="13">
        <f t="shared" si="2"/>
        <v>2827.2720442727023</v>
      </c>
      <c r="G25" s="182" t="s">
        <v>448</v>
      </c>
      <c r="H25" s="12">
        <f t="shared" si="1"/>
        <v>12.075170020712045</v>
      </c>
      <c r="I25" s="12">
        <f t="shared" si="1"/>
        <v>9.9292397611544772</v>
      </c>
      <c r="J25" s="12">
        <f t="shared" si="1"/>
        <v>9.8534326839454067</v>
      </c>
    </row>
    <row r="26" spans="2:10">
      <c r="B26" s="182" t="s">
        <v>449</v>
      </c>
      <c r="C26" s="13">
        <f t="shared" si="2"/>
        <v>-684.24926927288902</v>
      </c>
      <c r="D26" s="13">
        <f t="shared" si="2"/>
        <v>-751.99014040409418</v>
      </c>
      <c r="E26" s="13">
        <f t="shared" si="2"/>
        <v>895.23444160272811</v>
      </c>
      <c r="G26" s="182" t="s">
        <v>449</v>
      </c>
      <c r="H26" s="12">
        <f t="shared" si="1"/>
        <v>-2.2441208211437531</v>
      </c>
      <c r="I26" s="12">
        <f t="shared" si="1"/>
        <v>-2.4786049108138606</v>
      </c>
      <c r="J26" s="12">
        <f t="shared" si="1"/>
        <v>3.1200153959542711</v>
      </c>
    </row>
    <row r="27" spans="2:10">
      <c r="B27" s="182" t="s">
        <v>450</v>
      </c>
      <c r="C27" s="13">
        <f t="shared" si="2"/>
        <v>5490.7493989788782</v>
      </c>
      <c r="D27" s="13">
        <f t="shared" si="2"/>
        <v>5192.1274404023843</v>
      </c>
      <c r="E27" s="13">
        <f t="shared" si="2"/>
        <v>4209.3329097049282</v>
      </c>
      <c r="G27" s="182" t="s">
        <v>450</v>
      </c>
      <c r="H27" s="12">
        <f t="shared" si="1"/>
        <v>18.007918463727123</v>
      </c>
      <c r="I27" s="12">
        <f t="shared" si="1"/>
        <v>17.113565564087395</v>
      </c>
      <c r="J27" s="12">
        <f t="shared" si="1"/>
        <v>14.670105253618456</v>
      </c>
    </row>
    <row r="28" spans="2:10" ht="14.5">
      <c r="B28" s="189" t="s">
        <v>117</v>
      </c>
      <c r="C28" s="191">
        <f>SUM(C22:C27)</f>
        <v>38631.32019459633</v>
      </c>
      <c r="D28" s="191">
        <f>SUM(D22:D27)</f>
        <v>36462.556710917801</v>
      </c>
      <c r="E28" s="191">
        <f>SUM(E22:E27)</f>
        <v>33386.670402354175</v>
      </c>
      <c r="G28" s="189" t="s">
        <v>117</v>
      </c>
      <c r="H28" s="190">
        <f>SUM(H22:H27)</f>
        <v>126.69849116402952</v>
      </c>
      <c r="I28" s="190">
        <f>SUM(I22:I27)</f>
        <v>120.18278866787348</v>
      </c>
      <c r="J28" s="190">
        <f>SUM(J22:J27)</f>
        <v>116.35714717198208</v>
      </c>
    </row>
    <row r="30" spans="2:10">
      <c r="B30" s="192" t="s">
        <v>458</v>
      </c>
      <c r="C30" s="192"/>
      <c r="D30" s="192"/>
      <c r="E30" s="192"/>
      <c r="G30" s="192" t="s">
        <v>459</v>
      </c>
      <c r="H30" s="192"/>
      <c r="I30" s="192"/>
      <c r="J30" s="192"/>
    </row>
    <row r="31" spans="2:10">
      <c r="B31" s="5"/>
      <c r="C31" s="20" t="s">
        <v>19</v>
      </c>
      <c r="D31" s="20" t="s">
        <v>48</v>
      </c>
      <c r="E31" s="20" t="s">
        <v>49</v>
      </c>
      <c r="G31" s="5"/>
      <c r="H31" s="20" t="s">
        <v>19</v>
      </c>
      <c r="I31" s="20" t="s">
        <v>48</v>
      </c>
      <c r="J31" s="20" t="s">
        <v>49</v>
      </c>
    </row>
    <row r="32" spans="2:10">
      <c r="B32" s="182" t="s">
        <v>445</v>
      </c>
      <c r="C32" s="13">
        <f>GenerationSpend!AK108</f>
        <v>28728.185580954254</v>
      </c>
      <c r="D32" s="13">
        <f>GenerationSpend!AL108</f>
        <v>26495.774947466609</v>
      </c>
      <c r="E32" s="13">
        <f>GenerationSpend!AM108</f>
        <v>15990.321078305784</v>
      </c>
      <c r="G32" s="182" t="s">
        <v>445</v>
      </c>
      <c r="H32" s="12">
        <f t="shared" ref="H32:J37" si="3">C32/C$14</f>
        <v>94.219347116598485</v>
      </c>
      <c r="I32" s="12">
        <f t="shared" si="3"/>
        <v>87.331674143120253</v>
      </c>
      <c r="J32" s="12">
        <f t="shared" si="3"/>
        <v>55.72847248956213</v>
      </c>
    </row>
    <row r="33" spans="2:10">
      <c r="B33" s="182" t="s">
        <v>446</v>
      </c>
      <c r="C33" s="13">
        <f t="shared" ref="C33:E36" si="4">C5</f>
        <v>3416.4492978005114</v>
      </c>
      <c r="D33" s="13">
        <f t="shared" si="4"/>
        <v>4370.0024127706729</v>
      </c>
      <c r="E33" s="13">
        <f t="shared" si="4"/>
        <v>5388.9075773231034</v>
      </c>
      <c r="G33" s="182" t="s">
        <v>446</v>
      </c>
      <c r="H33" s="12">
        <f t="shared" si="3"/>
        <v>11.204871306217496</v>
      </c>
      <c r="I33" s="12">
        <f t="shared" si="3"/>
        <v>14.403791829958463</v>
      </c>
      <c r="J33" s="12">
        <f t="shared" si="3"/>
        <v>18.781085520483039</v>
      </c>
    </row>
    <row r="34" spans="2:10">
      <c r="B34" s="182" t="s">
        <v>447</v>
      </c>
      <c r="C34" s="13">
        <f t="shared" si="4"/>
        <v>2336.8509520354646</v>
      </c>
      <c r="D34" s="13">
        <f t="shared" si="4"/>
        <v>1831.1842304499999</v>
      </c>
      <c r="E34" s="13">
        <f t="shared" si="4"/>
        <v>5501.4762969809462</v>
      </c>
      <c r="G34" s="182" t="s">
        <v>447</v>
      </c>
      <c r="H34" s="12">
        <f t="shared" si="3"/>
        <v>7.6641307676441688</v>
      </c>
      <c r="I34" s="12">
        <f t="shared" si="3"/>
        <v>6.0356937974735692</v>
      </c>
      <c r="J34" s="12">
        <f t="shared" si="3"/>
        <v>19.173403020920745</v>
      </c>
    </row>
    <row r="35" spans="2:10">
      <c r="B35" s="182" t="s">
        <v>448</v>
      </c>
      <c r="C35" s="13">
        <f t="shared" si="4"/>
        <v>3681.8099030902586</v>
      </c>
      <c r="D35" s="13">
        <f t="shared" si="4"/>
        <v>3012.4568742360598</v>
      </c>
      <c r="E35" s="13">
        <f t="shared" si="4"/>
        <v>2827.2720442727023</v>
      </c>
      <c r="G35" s="182" t="s">
        <v>448</v>
      </c>
      <c r="H35" s="12">
        <f t="shared" si="3"/>
        <v>12.075170020712045</v>
      </c>
      <c r="I35" s="12">
        <f t="shared" si="3"/>
        <v>9.9292397611544772</v>
      </c>
      <c r="J35" s="12">
        <f t="shared" si="3"/>
        <v>9.8534326839454067</v>
      </c>
    </row>
    <row r="36" spans="2:10">
      <c r="B36" s="182" t="s">
        <v>449</v>
      </c>
      <c r="C36" s="13">
        <f t="shared" si="4"/>
        <v>-684.24926927288902</v>
      </c>
      <c r="D36" s="13">
        <f t="shared" si="4"/>
        <v>-751.99014040409418</v>
      </c>
      <c r="E36" s="13">
        <f t="shared" si="4"/>
        <v>895.23444160272811</v>
      </c>
      <c r="G36" s="182" t="s">
        <v>449</v>
      </c>
      <c r="H36" s="12">
        <f t="shared" si="3"/>
        <v>-2.2441208211437531</v>
      </c>
      <c r="I36" s="12">
        <f t="shared" si="3"/>
        <v>-2.4786049108138606</v>
      </c>
      <c r="J36" s="12">
        <f t="shared" si="3"/>
        <v>3.1200153959542711</v>
      </c>
    </row>
    <row r="37" spans="2:10">
      <c r="B37" s="182" t="s">
        <v>450</v>
      </c>
      <c r="C37" s="13">
        <f>NetworkSpend!K7+NetworkSpend!$K$10+NetworkSpend!K13+NetworkSpend!K27+NetworkSpend!K37</f>
        <v>5695.408230426865</v>
      </c>
      <c r="D37" s="13">
        <f>NetworkSpend!K8+NetworkSpend!$K$10+NetworkSpend!K14+NetworkSpend!K28+NetworkSpend!K38</f>
        <v>5739.7262280712075</v>
      </c>
      <c r="E37" s="13">
        <f>NetworkSpend!K6+NetworkSpend!$K$10+NetworkSpend!K12+NetworkSpend!K26+NetworkSpend!K36</f>
        <v>4209.3329097049282</v>
      </c>
      <c r="G37" s="182" t="s">
        <v>450</v>
      </c>
      <c r="H37" s="12">
        <f t="shared" si="3"/>
        <v>18.679134591398586</v>
      </c>
      <c r="I37" s="12">
        <f t="shared" si="3"/>
        <v>18.918484234353873</v>
      </c>
      <c r="J37" s="12">
        <f t="shared" si="3"/>
        <v>14.670105253618456</v>
      </c>
    </row>
    <row r="38" spans="2:10" ht="14.5">
      <c r="B38" s="189" t="s">
        <v>117</v>
      </c>
      <c r="C38" s="191">
        <f>SUM(C32:C37)</f>
        <v>43174.454695034467</v>
      </c>
      <c r="D38" s="191">
        <f>SUM(D32:D37)</f>
        <v>40697.154552590458</v>
      </c>
      <c r="E38" s="191">
        <f>SUM(E32:E37)</f>
        <v>34812.544348190189</v>
      </c>
      <c r="G38" s="189" t="s">
        <v>117</v>
      </c>
      <c r="H38" s="190">
        <f>SUM(H32:H37)</f>
        <v>141.59853298142704</v>
      </c>
      <c r="I38" s="190">
        <f>SUM(I32:I37)</f>
        <v>134.14027885524678</v>
      </c>
      <c r="J38" s="190">
        <f>SUM(J32:J37)</f>
        <v>121.32651436448405</v>
      </c>
    </row>
    <row r="41" spans="2:10">
      <c r="B41" s="209" t="s">
        <v>460</v>
      </c>
      <c r="C41" s="209"/>
      <c r="D41" s="209"/>
      <c r="E41" s="209"/>
      <c r="F41" s="209"/>
      <c r="G41" s="209"/>
      <c r="H41" s="209"/>
      <c r="I41" s="209"/>
      <c r="J41" s="209"/>
    </row>
    <row r="43" spans="2:10">
      <c r="B43" s="192" t="s">
        <v>461</v>
      </c>
      <c r="C43" s="192"/>
      <c r="D43" s="192"/>
      <c r="E43" s="192"/>
      <c r="G43" s="192" t="s">
        <v>462</v>
      </c>
      <c r="H43" s="192"/>
      <c r="I43" s="192"/>
      <c r="J43" s="192"/>
    </row>
    <row r="44" spans="2:10">
      <c r="B44" s="5"/>
      <c r="C44" s="20" t="s">
        <v>19</v>
      </c>
      <c r="D44" s="20" t="s">
        <v>48</v>
      </c>
      <c r="E44" s="20" t="s">
        <v>49</v>
      </c>
      <c r="G44" s="5"/>
      <c r="H44" s="20" t="s">
        <v>19</v>
      </c>
      <c r="I44" s="20" t="s">
        <v>48</v>
      </c>
      <c r="J44" s="20" t="s">
        <v>49</v>
      </c>
    </row>
    <row r="45" spans="2:10">
      <c r="B45" s="182" t="s">
        <v>445</v>
      </c>
      <c r="C45" s="13">
        <f>GenerationSpend_LG!AH40</f>
        <v>26105.441511570589</v>
      </c>
      <c r="D45" s="13">
        <f>GenerationSpend_LG!AI40</f>
        <v>24346.052453379925</v>
      </c>
      <c r="E45" s="13">
        <f>GenerationSpend_LG!AJ40</f>
        <v>15123.423242813182</v>
      </c>
      <c r="G45" s="182" t="s">
        <v>445</v>
      </c>
      <c r="H45" s="12">
        <f t="shared" ref="H45:J50" si="5">C45/C$14</f>
        <v>85.617577499965023</v>
      </c>
      <c r="I45" s="12">
        <f t="shared" si="5"/>
        <v>80.246058994141009</v>
      </c>
      <c r="J45" s="12">
        <f t="shared" si="5"/>
        <v>52.707214070801903</v>
      </c>
    </row>
    <row r="46" spans="2:10">
      <c r="B46" s="182" t="s">
        <v>446</v>
      </c>
      <c r="C46" s="13">
        <f>PlexosVOMs_LG!G12</f>
        <v>2828.0539189258316</v>
      </c>
      <c r="D46" s="13">
        <f>PlexosVOMs_LG!G13</f>
        <v>3847.4396356351235</v>
      </c>
      <c r="E46" s="13">
        <f>PlexosVOMs_LG!G11</f>
        <v>4121.0761613810728</v>
      </c>
      <c r="F46" s="13"/>
      <c r="G46" s="182" t="s">
        <v>446</v>
      </c>
      <c r="H46" s="12">
        <f t="shared" si="5"/>
        <v>9.2751208773999707</v>
      </c>
      <c r="I46" s="12">
        <f t="shared" si="5"/>
        <v>12.681393362179763</v>
      </c>
      <c r="J46" s="12">
        <f t="shared" si="5"/>
        <v>14.362518323568811</v>
      </c>
    </row>
    <row r="47" spans="2:10">
      <c r="B47" s="182" t="s">
        <v>447</v>
      </c>
      <c r="C47" s="13">
        <f>PlexosVOMs_LG!F12</f>
        <v>2108.0622677326564</v>
      </c>
      <c r="D47" s="13">
        <f>PlexosVOMs_LG!F13</f>
        <v>1851.3193222580344</v>
      </c>
      <c r="E47" s="13">
        <f>PlexosVOMs_LG!F11</f>
        <v>4808.2162681782711</v>
      </c>
      <c r="G47" s="182" t="s">
        <v>447</v>
      </c>
      <c r="H47" s="12">
        <f t="shared" si="5"/>
        <v>6.9137763673660251</v>
      </c>
      <c r="I47" s="12">
        <f t="shared" si="5"/>
        <v>6.1020602759067364</v>
      </c>
      <c r="J47" s="12">
        <f t="shared" si="5"/>
        <v>16.757296286475089</v>
      </c>
    </row>
    <row r="48" spans="2:10">
      <c r="B48" s="182" t="s">
        <v>448</v>
      </c>
      <c r="C48" s="13">
        <f>ConstraintCosts_LG!D10</f>
        <v>2405.11</v>
      </c>
      <c r="D48" s="13">
        <f>ConstraintCosts_LG!E10</f>
        <v>2045.52</v>
      </c>
      <c r="E48" s="13">
        <f>ConstraintCosts_LG!C10</f>
        <v>2609.75</v>
      </c>
      <c r="G48" s="182" t="s">
        <v>448</v>
      </c>
      <c r="H48" s="12">
        <f t="shared" si="5"/>
        <v>7.8879988193140536</v>
      </c>
      <c r="I48" s="12">
        <f t="shared" si="5"/>
        <v>6.7421574363242334</v>
      </c>
      <c r="J48" s="12">
        <f t="shared" si="5"/>
        <v>9.0953383842273805</v>
      </c>
    </row>
    <row r="49" spans="2:10">
      <c r="B49" s="182" t="s">
        <v>449</v>
      </c>
      <c r="C49" s="13">
        <f>ImportExport_LG!E30</f>
        <v>-701.94613902608523</v>
      </c>
      <c r="D49" s="13">
        <f>ImportExport_LG!E31</f>
        <v>-597.07145739539112</v>
      </c>
      <c r="E49" s="13">
        <f>ImportExport_LG!E32</f>
        <v>381.65905847954264</v>
      </c>
      <c r="G49" s="182" t="s">
        <v>449</v>
      </c>
      <c r="H49" s="12">
        <f t="shared" si="5"/>
        <v>-2.3021609472580544</v>
      </c>
      <c r="I49" s="12">
        <f t="shared" si="5"/>
        <v>-1.9679835770343406</v>
      </c>
      <c r="J49" s="12">
        <f t="shared" si="5"/>
        <v>1.3301344129809625</v>
      </c>
    </row>
    <row r="50" spans="2:10">
      <c r="B50" s="182" t="s">
        <v>450</v>
      </c>
      <c r="C50" s="13">
        <f>NetworkSpend!K7+NetworkSpend!$K$10+NetworkSpend!K13+NetworkSpend_LG!J14+NetworkSpend!K37</f>
        <v>5490.7493989788782</v>
      </c>
      <c r="D50" s="13">
        <f>NetworkSpend!K8+NetworkSpend!$K$10+NetworkSpend!K14+NetworkSpend_LG!J15+NetworkSpend!K38</f>
        <v>5181.8262829224168</v>
      </c>
      <c r="E50" s="13">
        <f>NetworkSpend!K6+NetworkSpend!$K$10+NetworkSpend!K12+NetworkSpend_LG!J13+NetworkSpend!K37</f>
        <v>4212.3380315000031</v>
      </c>
      <c r="G50" s="182" t="s">
        <v>450</v>
      </c>
      <c r="H50" s="12">
        <f t="shared" si="5"/>
        <v>18.007918463727123</v>
      </c>
      <c r="I50" s="12">
        <f t="shared" si="5"/>
        <v>17.079612327010118</v>
      </c>
      <c r="J50" s="12">
        <f t="shared" si="5"/>
        <v>14.68057851719237</v>
      </c>
    </row>
    <row r="51" spans="2:10" ht="14.5">
      <c r="B51" s="189" t="s">
        <v>117</v>
      </c>
      <c r="C51" s="191">
        <f>SUM(C45:C50)</f>
        <v>38235.470958181868</v>
      </c>
      <c r="D51" s="191">
        <f>SUM(D45:D50)</f>
        <v>36675.086236800111</v>
      </c>
      <c r="E51" s="191">
        <f>SUM(E45:E50)</f>
        <v>31256.462762352072</v>
      </c>
      <c r="G51" s="189" t="s">
        <v>117</v>
      </c>
      <c r="H51" s="190">
        <f>SUM(H45:H50)</f>
        <v>125.40023108051413</v>
      </c>
      <c r="I51" s="190">
        <f>SUM(I45:I50)</f>
        <v>120.88329881852752</v>
      </c>
      <c r="J51" s="190">
        <f>SUM(J45:J50)</f>
        <v>108.93307999524653</v>
      </c>
    </row>
    <row r="52" spans="2:10">
      <c r="C52" s="12"/>
      <c r="D52" s="12"/>
      <c r="E52" s="12"/>
    </row>
    <row r="53" spans="2:10">
      <c r="B53" s="192" t="s">
        <v>463</v>
      </c>
      <c r="C53" s="192"/>
      <c r="D53" s="192"/>
      <c r="E53" s="192"/>
      <c r="G53" s="192" t="s">
        <v>464</v>
      </c>
      <c r="H53" s="192"/>
      <c r="I53" s="192"/>
      <c r="J53" s="192"/>
    </row>
    <row r="54" spans="2:10">
      <c r="B54" s="5"/>
      <c r="C54" s="20" t="s">
        <v>19</v>
      </c>
      <c r="D54" s="20" t="s">
        <v>48</v>
      </c>
      <c r="E54" s="20" t="s">
        <v>49</v>
      </c>
      <c r="G54" s="5"/>
      <c r="H54" s="20" t="s">
        <v>19</v>
      </c>
      <c r="I54" s="20" t="s">
        <v>48</v>
      </c>
      <c r="J54" s="20" t="s">
        <v>49</v>
      </c>
    </row>
    <row r="55" spans="2:10">
      <c r="B55" s="182" t="s">
        <v>445</v>
      </c>
      <c r="C55" s="13">
        <f>GenerationSpend_HG!AH39</f>
        <v>26218.31219713085</v>
      </c>
      <c r="D55" s="13">
        <f>GenerationSpend_HG!AI39</f>
        <v>24380.8828755096</v>
      </c>
      <c r="E55" s="13">
        <f>GenerationSpend_HG!AJ39</f>
        <v>15084.380765490414</v>
      </c>
      <c r="G55" s="182" t="s">
        <v>445</v>
      </c>
      <c r="H55" s="12">
        <f t="shared" ref="H55:J60" si="6">C55/C$14</f>
        <v>85.987757589206069</v>
      </c>
      <c r="I55" s="12">
        <f t="shared" si="6"/>
        <v>80.360862168674572</v>
      </c>
      <c r="J55" s="12">
        <f t="shared" si="6"/>
        <v>52.571145657118947</v>
      </c>
    </row>
    <row r="56" spans="2:10">
      <c r="B56" s="182" t="s">
        <v>446</v>
      </c>
      <c r="C56" s="13">
        <f>PlexosVOMs_HG!G12</f>
        <v>7859.8486894288144</v>
      </c>
      <c r="D56" s="13">
        <f>PlexosVOMs_HG!G13</f>
        <v>9655.498776044331</v>
      </c>
      <c r="E56" s="13">
        <f>PlexosVOMs_HG!G11</f>
        <v>15561.12756368286</v>
      </c>
      <c r="G56" s="182" t="s">
        <v>446</v>
      </c>
      <c r="H56" s="12">
        <f t="shared" si="6"/>
        <v>25.777813564536174</v>
      </c>
      <c r="I56" s="12">
        <f t="shared" si="6"/>
        <v>31.82510700180239</v>
      </c>
      <c r="J56" s="12">
        <f t="shared" si="6"/>
        <v>54.232673946478947</v>
      </c>
    </row>
    <row r="57" spans="2:10">
      <c r="B57" s="182" t="s">
        <v>447</v>
      </c>
      <c r="C57" s="13">
        <f>PlexosVOMs_HG!F12</f>
        <v>2179.6819774702267</v>
      </c>
      <c r="D57" s="13">
        <f>PlexosVOMs_HG!F13</f>
        <v>1956.7283165301596</v>
      </c>
      <c r="E57" s="13">
        <f>PlexosVOMs_HG!F11</f>
        <v>4906.0341695153074</v>
      </c>
      <c r="G57" s="182" t="s">
        <v>447</v>
      </c>
      <c r="H57" s="12">
        <f t="shared" si="6"/>
        <v>7.1486663249353537</v>
      </c>
      <c r="I57" s="12">
        <f t="shared" si="6"/>
        <v>6.4494946860260542</v>
      </c>
      <c r="J57" s="12">
        <f t="shared" si="6"/>
        <v>17.098205152341674</v>
      </c>
    </row>
    <row r="58" spans="2:10">
      <c r="B58" s="182" t="s">
        <v>448</v>
      </c>
      <c r="C58" s="13">
        <f>ConstraintCosts_HG!D10</f>
        <v>3762.27</v>
      </c>
      <c r="D58" s="13">
        <f>ConstraintCosts_HG!E10</f>
        <v>3310.27</v>
      </c>
      <c r="E58" s="13">
        <f>ConstraintCosts_HG!C10</f>
        <v>4801.07</v>
      </c>
      <c r="G58" s="182" t="s">
        <v>448</v>
      </c>
      <c r="H58" s="12">
        <f t="shared" si="6"/>
        <v>12.339053647417659</v>
      </c>
      <c r="I58" s="12">
        <f t="shared" si="6"/>
        <v>10.910849806768461</v>
      </c>
      <c r="J58" s="12">
        <f t="shared" si="6"/>
        <v>16.73239055708882</v>
      </c>
    </row>
    <row r="59" spans="2:10">
      <c r="B59" s="182" t="s">
        <v>449</v>
      </c>
      <c r="C59" s="13">
        <f>ImportExport_HG!E28</f>
        <v>-1832.0716112531973</v>
      </c>
      <c r="D59" s="13">
        <f>ImportExport_HG!E29</f>
        <v>-1299.2668371696504</v>
      </c>
      <c r="E59" s="13">
        <f>ImportExport_HG!E30</f>
        <v>16.240409207161282</v>
      </c>
      <c r="G59" s="182" t="s">
        <v>449</v>
      </c>
      <c r="H59" s="12">
        <f t="shared" si="6"/>
        <v>-6.0086144527543501</v>
      </c>
      <c r="I59" s="12">
        <f t="shared" si="6"/>
        <v>-4.2824619500140919</v>
      </c>
      <c r="J59" s="12">
        <f t="shared" si="6"/>
        <v>5.6600064081790892E-2</v>
      </c>
    </row>
    <row r="60" spans="2:10">
      <c r="B60" s="182" t="s">
        <v>450</v>
      </c>
      <c r="C60" s="13">
        <f>NetworkSpend!K7+NetworkSpend!$K$10+NetworkSpend!K13+NetworkSpend_HG!J14+NetworkSpend!K37</f>
        <v>5490.6765665589555</v>
      </c>
      <c r="D60" s="13">
        <f>NetworkSpend!K8+NetworkSpend!$K$10+NetworkSpend!K14+NetworkSpend_HG!J15+NetworkSpend!K38</f>
        <v>5156.2472151662587</v>
      </c>
      <c r="E60" s="13">
        <f>NetworkSpend!K6+NetworkSpend!$K$10+NetworkSpend!K12+NetworkSpend_HG!J13+NetworkSpend!K37</f>
        <v>4212.3380315000031</v>
      </c>
      <c r="G60" s="182" t="s">
        <v>450</v>
      </c>
      <c r="H60" s="12">
        <f t="shared" si="6"/>
        <v>18.007679596464353</v>
      </c>
      <c r="I60" s="12">
        <f t="shared" si="6"/>
        <v>16.995302175123836</v>
      </c>
      <c r="J60" s="12">
        <f t="shared" si="6"/>
        <v>14.68057851719237</v>
      </c>
    </row>
    <row r="61" spans="2:10" ht="14.5">
      <c r="B61" s="189" t="s">
        <v>117</v>
      </c>
      <c r="C61" s="191">
        <f>SUM(C55:C60)</f>
        <v>43678.717819335645</v>
      </c>
      <c r="D61" s="191">
        <f>SUM(D55:D60)</f>
        <v>43160.360346080692</v>
      </c>
      <c r="E61" s="191">
        <f>SUM(E55:E60)</f>
        <v>44581.190939395739</v>
      </c>
      <c r="G61" s="189" t="s">
        <v>117</v>
      </c>
      <c r="H61" s="190">
        <f>SUM(H55:H60)</f>
        <v>143.25235626980526</v>
      </c>
      <c r="I61" s="190">
        <f>SUM(I55:I60)</f>
        <v>142.25915388838123</v>
      </c>
      <c r="J61" s="190">
        <f>SUM(J55:J60)</f>
        <v>155.37159389430255</v>
      </c>
    </row>
    <row r="66" spans="2:10">
      <c r="B66" s="209" t="s">
        <v>465</v>
      </c>
      <c r="C66" s="209"/>
      <c r="D66" s="209"/>
      <c r="E66" s="209"/>
      <c r="F66" s="209"/>
      <c r="G66" s="209"/>
      <c r="H66" s="209"/>
      <c r="I66" s="209"/>
      <c r="J66" s="209"/>
    </row>
    <row r="68" spans="2:10">
      <c r="G68" s="192" t="s">
        <v>466</v>
      </c>
      <c r="H68" s="192"/>
      <c r="I68" s="192"/>
      <c r="J68" s="192"/>
    </row>
    <row r="69" spans="2:10">
      <c r="G69" s="5"/>
      <c r="H69" s="20" t="s">
        <v>19</v>
      </c>
      <c r="I69" s="20" t="s">
        <v>48</v>
      </c>
      <c r="J69" s="20" t="s">
        <v>49</v>
      </c>
    </row>
    <row r="70" spans="2:10">
      <c r="G70" s="182" t="s">
        <v>445</v>
      </c>
      <c r="H70" s="12">
        <f t="shared" ref="H70:J71" si="7">H4</f>
        <v>85.954114065271582</v>
      </c>
      <c r="I70" s="12">
        <f t="shared" si="7"/>
        <v>80.549662457021526</v>
      </c>
      <c r="J70" s="12">
        <f t="shared" si="7"/>
        <v>52.655984553447404</v>
      </c>
    </row>
    <row r="71" spans="2:10">
      <c r="G71" s="182" t="s">
        <v>446</v>
      </c>
      <c r="H71" s="12">
        <f t="shared" si="7"/>
        <v>11.204871306217496</v>
      </c>
      <c r="I71" s="12">
        <f t="shared" si="7"/>
        <v>14.403791829958463</v>
      </c>
      <c r="J71" s="12">
        <f t="shared" si="7"/>
        <v>18.781085520483039</v>
      </c>
    </row>
    <row r="72" spans="2:10" ht="14.5">
      <c r="G72" s="38" t="s">
        <v>467</v>
      </c>
      <c r="H72" s="190">
        <f>H56-H5</f>
        <v>14.572942258318678</v>
      </c>
      <c r="I72" s="190">
        <f>I56-I5</f>
        <v>17.421315171843929</v>
      </c>
      <c r="J72" s="190">
        <f>J56-J5</f>
        <v>35.451588425995908</v>
      </c>
    </row>
    <row r="73" spans="2:10">
      <c r="G73" s="182" t="s">
        <v>447</v>
      </c>
      <c r="H73" s="12">
        <f t="shared" ref="H73:J76" si="8">H6</f>
        <v>7.6641307676441688</v>
      </c>
      <c r="I73" s="12">
        <f t="shared" si="8"/>
        <v>6.0356937974735692</v>
      </c>
      <c r="J73" s="12">
        <f t="shared" si="8"/>
        <v>19.173403020920745</v>
      </c>
    </row>
    <row r="74" spans="2:10">
      <c r="G74" s="182" t="s">
        <v>448</v>
      </c>
      <c r="H74" s="12">
        <f t="shared" si="8"/>
        <v>12.075170020712045</v>
      </c>
      <c r="I74" s="12">
        <f t="shared" si="8"/>
        <v>9.9292397611544772</v>
      </c>
      <c r="J74" s="12">
        <f t="shared" si="8"/>
        <v>9.8534326839454067</v>
      </c>
    </row>
    <row r="75" spans="2:10">
      <c r="G75" s="182" t="s">
        <v>449</v>
      </c>
      <c r="H75" s="12">
        <f t="shared" si="8"/>
        <v>-2.2441208211437531</v>
      </c>
      <c r="I75" s="12">
        <f t="shared" si="8"/>
        <v>-2.4786049108138606</v>
      </c>
      <c r="J75" s="12">
        <f t="shared" si="8"/>
        <v>3.1200153959542711</v>
      </c>
    </row>
    <row r="76" spans="2:10">
      <c r="G76" s="182" t="s">
        <v>450</v>
      </c>
      <c r="H76" s="12">
        <f t="shared" si="8"/>
        <v>18.007918463727123</v>
      </c>
      <c r="I76" s="12">
        <f t="shared" si="8"/>
        <v>17.113565564087395</v>
      </c>
      <c r="J76" s="12">
        <f t="shared" si="8"/>
        <v>14.670105253618456</v>
      </c>
    </row>
    <row r="77" spans="2:10" ht="14.5">
      <c r="G77" s="189" t="s">
        <v>468</v>
      </c>
      <c r="H77" s="190">
        <f>SUM(H70:H76)</f>
        <v>147.23502606074734</v>
      </c>
      <c r="I77" s="190">
        <f>SUM(I70:I76)</f>
        <v>142.9746636707255</v>
      </c>
      <c r="J77" s="190">
        <f>SUM(J70:J76)</f>
        <v>153.70561485436525</v>
      </c>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6A90E-777E-47DB-A99C-97177C853D0A}">
  <sheetPr codeName="Sheet24">
    <tabColor theme="5"/>
  </sheetPr>
  <dimension ref="B3"/>
  <sheetViews>
    <sheetView workbookViewId="0"/>
  </sheetViews>
  <sheetFormatPr defaultColWidth="8.75" defaultRowHeight="14"/>
  <cols>
    <col min="1" max="16384" width="8.75" style="1"/>
  </cols>
  <sheetData>
    <row r="3" spans="2:2" ht="23">
      <c r="B3" s="6" t="s">
        <v>469</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9BC2E-B78E-4A60-8DC9-21B70CA7E18A}">
  <sheetPr codeName="Sheet26">
    <tabColor theme="9"/>
  </sheetPr>
  <dimension ref="A1"/>
  <sheetViews>
    <sheetView workbookViewId="0"/>
  </sheetViews>
  <sheetFormatPr defaultRowHeight="14"/>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53911-ABAF-4449-8CF7-424F77CB09C4}">
  <sheetPr codeName="Sheet27"/>
  <dimension ref="C1:L79"/>
  <sheetViews>
    <sheetView topLeftCell="A31" workbookViewId="0"/>
  </sheetViews>
  <sheetFormatPr defaultRowHeight="14"/>
  <cols>
    <col min="1" max="1" width="1.75" customWidth="1"/>
    <col min="3" max="3" width="13.4140625" bestFit="1" customWidth="1"/>
    <col min="4" max="4" width="9.75" bestFit="1" customWidth="1"/>
    <col min="5" max="5" width="38.75" bestFit="1" customWidth="1"/>
    <col min="6" max="6" width="10.25" bestFit="1" customWidth="1"/>
    <col min="7" max="7" width="5.25" bestFit="1" customWidth="1"/>
    <col min="8" max="8" width="10.25" bestFit="1" customWidth="1"/>
    <col min="9" max="9" width="9.75" bestFit="1" customWidth="1"/>
    <col min="10" max="10" width="5.25" bestFit="1" customWidth="1"/>
    <col min="11" max="11" width="25.75" bestFit="1" customWidth="1"/>
  </cols>
  <sheetData>
    <row r="1" spans="3:12" ht="10.4" customHeight="1"/>
    <row r="2" spans="3:12">
      <c r="C2" s="10"/>
    </row>
    <row r="3" spans="3:12">
      <c r="C3" s="96" t="s">
        <v>4</v>
      </c>
      <c r="D3" s="43" t="s">
        <v>470</v>
      </c>
    </row>
    <row r="4" spans="3:12">
      <c r="C4" s="96" t="s">
        <v>6</v>
      </c>
      <c r="D4" s="43" t="s">
        <v>7</v>
      </c>
    </row>
    <row r="5" spans="3:12">
      <c r="C5" s="96" t="s">
        <v>8</v>
      </c>
      <c r="D5" s="62" t="s">
        <v>196</v>
      </c>
    </row>
    <row r="6" spans="3:12">
      <c r="C6" s="10"/>
    </row>
    <row r="8" spans="3:12">
      <c r="C8" s="44" t="s">
        <v>11</v>
      </c>
      <c r="D8" s="44" t="s">
        <v>12</v>
      </c>
      <c r="E8" s="44" t="s">
        <v>13</v>
      </c>
      <c r="F8" s="44" t="s">
        <v>14</v>
      </c>
      <c r="G8" s="44" t="s">
        <v>15</v>
      </c>
      <c r="H8" s="44" t="s">
        <v>16</v>
      </c>
      <c r="I8" s="44" t="s">
        <v>17</v>
      </c>
      <c r="J8" s="44" t="s">
        <v>6</v>
      </c>
      <c r="K8" s="44" t="s">
        <v>18</v>
      </c>
    </row>
    <row r="9" spans="3:12">
      <c r="C9" t="s">
        <v>19</v>
      </c>
      <c r="D9" t="s">
        <v>20</v>
      </c>
      <c r="E9" t="s">
        <v>21</v>
      </c>
      <c r="F9" t="s">
        <v>22</v>
      </c>
      <c r="G9">
        <v>1</v>
      </c>
      <c r="H9">
        <v>2030</v>
      </c>
      <c r="I9">
        <v>11842.22</v>
      </c>
      <c r="J9" t="s">
        <v>7</v>
      </c>
      <c r="K9" t="s">
        <v>21</v>
      </c>
      <c r="L9" s="14"/>
    </row>
    <row r="10" spans="3:12">
      <c r="C10" t="s">
        <v>19</v>
      </c>
      <c r="D10" t="s">
        <v>20</v>
      </c>
      <c r="E10" t="s">
        <v>23</v>
      </c>
      <c r="F10" t="s">
        <v>22</v>
      </c>
      <c r="G10">
        <v>1</v>
      </c>
      <c r="H10">
        <v>2030</v>
      </c>
      <c r="I10">
        <v>1513.12</v>
      </c>
      <c r="J10" t="s">
        <v>7</v>
      </c>
      <c r="K10" t="s">
        <v>471</v>
      </c>
      <c r="L10" s="14"/>
    </row>
    <row r="11" spans="3:12">
      <c r="C11" t="s">
        <v>19</v>
      </c>
      <c r="D11" t="s">
        <v>20</v>
      </c>
      <c r="E11" t="s">
        <v>24</v>
      </c>
      <c r="F11" t="s">
        <v>22</v>
      </c>
      <c r="G11">
        <v>1</v>
      </c>
      <c r="H11">
        <v>2030</v>
      </c>
      <c r="I11">
        <v>25895.1</v>
      </c>
      <c r="J11" t="s">
        <v>7</v>
      </c>
      <c r="K11" t="s">
        <v>24</v>
      </c>
      <c r="L11" s="14"/>
    </row>
    <row r="12" spans="3:12">
      <c r="C12" t="s">
        <v>19</v>
      </c>
      <c r="D12" t="s">
        <v>20</v>
      </c>
      <c r="E12" t="s">
        <v>25</v>
      </c>
      <c r="F12" t="s">
        <v>22</v>
      </c>
      <c r="G12">
        <v>1</v>
      </c>
      <c r="H12">
        <v>2030</v>
      </c>
      <c r="I12">
        <v>44161.59</v>
      </c>
      <c r="J12" t="s">
        <v>7</v>
      </c>
      <c r="K12" t="s">
        <v>203</v>
      </c>
      <c r="L12" s="14"/>
    </row>
    <row r="13" spans="3:12">
      <c r="C13" t="s">
        <v>19</v>
      </c>
      <c r="D13" t="s">
        <v>20</v>
      </c>
      <c r="E13" t="s">
        <v>26</v>
      </c>
      <c r="F13" t="s">
        <v>22</v>
      </c>
      <c r="G13">
        <v>1</v>
      </c>
      <c r="H13">
        <v>2030</v>
      </c>
      <c r="I13">
        <v>8140.78</v>
      </c>
      <c r="J13" t="s">
        <v>7</v>
      </c>
      <c r="K13" t="s">
        <v>472</v>
      </c>
      <c r="L13" s="14"/>
    </row>
    <row r="14" spans="3:12">
      <c r="C14" t="s">
        <v>19</v>
      </c>
      <c r="D14" t="s">
        <v>20</v>
      </c>
      <c r="E14" t="s">
        <v>27</v>
      </c>
      <c r="F14" t="s">
        <v>22</v>
      </c>
      <c r="G14">
        <v>1</v>
      </c>
      <c r="H14">
        <v>2030</v>
      </c>
      <c r="I14">
        <v>4851.6499999999996</v>
      </c>
      <c r="J14" t="s">
        <v>7</v>
      </c>
      <c r="K14" t="s">
        <v>471</v>
      </c>
      <c r="L14" s="14"/>
    </row>
    <row r="15" spans="3:12">
      <c r="C15" t="s">
        <v>19</v>
      </c>
      <c r="D15" t="s">
        <v>20</v>
      </c>
      <c r="E15" t="s">
        <v>28</v>
      </c>
      <c r="F15" t="s">
        <v>22</v>
      </c>
      <c r="G15">
        <v>1</v>
      </c>
      <c r="H15">
        <v>2030</v>
      </c>
      <c r="I15">
        <v>4530.5</v>
      </c>
      <c r="J15" t="s">
        <v>7</v>
      </c>
      <c r="K15" t="s">
        <v>471</v>
      </c>
      <c r="L15" s="14"/>
    </row>
    <row r="16" spans="3:12">
      <c r="C16" t="s">
        <v>19</v>
      </c>
      <c r="D16" t="s">
        <v>20</v>
      </c>
      <c r="E16" t="s">
        <v>29</v>
      </c>
      <c r="F16" t="s">
        <v>22</v>
      </c>
      <c r="G16">
        <v>1</v>
      </c>
      <c r="H16">
        <v>2030</v>
      </c>
      <c r="I16">
        <v>400.75</v>
      </c>
      <c r="J16" t="s">
        <v>7</v>
      </c>
      <c r="K16" t="s">
        <v>471</v>
      </c>
      <c r="L16" s="14"/>
    </row>
    <row r="17" spans="3:12">
      <c r="C17" t="s">
        <v>19</v>
      </c>
      <c r="D17" t="s">
        <v>20</v>
      </c>
      <c r="E17" t="s">
        <v>30</v>
      </c>
      <c r="F17" t="s">
        <v>22</v>
      </c>
      <c r="G17">
        <v>1</v>
      </c>
      <c r="H17">
        <v>2030</v>
      </c>
      <c r="I17">
        <v>18659.400000000001</v>
      </c>
      <c r="J17" t="s">
        <v>7</v>
      </c>
      <c r="K17" t="s">
        <v>30</v>
      </c>
      <c r="L17" s="14"/>
    </row>
    <row r="18" spans="3:12">
      <c r="C18" t="s">
        <v>19</v>
      </c>
      <c r="D18" t="s">
        <v>20</v>
      </c>
      <c r="E18" t="s">
        <v>32</v>
      </c>
      <c r="F18" t="s">
        <v>22</v>
      </c>
      <c r="G18">
        <v>1</v>
      </c>
      <c r="H18">
        <v>2030</v>
      </c>
      <c r="I18">
        <v>3499.3</v>
      </c>
      <c r="J18" t="s">
        <v>7</v>
      </c>
      <c r="K18" t="s">
        <v>32</v>
      </c>
      <c r="L18" s="14"/>
    </row>
    <row r="19" spans="3:12">
      <c r="C19" t="s">
        <v>19</v>
      </c>
      <c r="D19" t="s">
        <v>20</v>
      </c>
      <c r="E19" t="s">
        <v>34</v>
      </c>
      <c r="F19" t="s">
        <v>22</v>
      </c>
      <c r="G19">
        <v>1</v>
      </c>
      <c r="H19">
        <v>2030</v>
      </c>
      <c r="I19">
        <v>0</v>
      </c>
      <c r="J19" t="s">
        <v>7</v>
      </c>
      <c r="K19" t="s">
        <v>471</v>
      </c>
      <c r="L19" s="14"/>
    </row>
    <row r="20" spans="3:12">
      <c r="C20" t="s">
        <v>19</v>
      </c>
      <c r="D20" t="s">
        <v>20</v>
      </c>
      <c r="E20" t="s">
        <v>35</v>
      </c>
      <c r="F20" t="s">
        <v>22</v>
      </c>
      <c r="G20">
        <v>1</v>
      </c>
      <c r="H20">
        <v>2030</v>
      </c>
      <c r="I20">
        <v>98.17</v>
      </c>
      <c r="J20" t="s">
        <v>7</v>
      </c>
      <c r="K20" t="s">
        <v>471</v>
      </c>
      <c r="L20" s="14"/>
    </row>
    <row r="21" spans="3:12">
      <c r="C21" t="s">
        <v>19</v>
      </c>
      <c r="D21" t="s">
        <v>20</v>
      </c>
      <c r="E21" t="s">
        <v>36</v>
      </c>
      <c r="F21" t="s">
        <v>22</v>
      </c>
      <c r="G21">
        <v>1</v>
      </c>
      <c r="H21">
        <v>2030</v>
      </c>
      <c r="I21">
        <v>11097.59</v>
      </c>
      <c r="J21" t="s">
        <v>7</v>
      </c>
      <c r="K21" t="s">
        <v>473</v>
      </c>
      <c r="L21" s="14"/>
    </row>
    <row r="22" spans="3:12">
      <c r="C22" t="s">
        <v>19</v>
      </c>
      <c r="D22" t="s">
        <v>20</v>
      </c>
      <c r="E22" t="s">
        <v>37</v>
      </c>
      <c r="F22" t="s">
        <v>22</v>
      </c>
      <c r="G22">
        <v>1</v>
      </c>
      <c r="H22">
        <v>2030</v>
      </c>
      <c r="I22">
        <v>157404.84</v>
      </c>
      <c r="J22" t="s">
        <v>7</v>
      </c>
      <c r="K22" t="s">
        <v>37</v>
      </c>
      <c r="L22" s="14"/>
    </row>
    <row r="23" spans="3:12">
      <c r="C23" t="s">
        <v>19</v>
      </c>
      <c r="D23" t="s">
        <v>20</v>
      </c>
      <c r="E23" t="s">
        <v>38</v>
      </c>
      <c r="F23" t="s">
        <v>22</v>
      </c>
      <c r="G23">
        <v>1</v>
      </c>
      <c r="H23">
        <v>2030</v>
      </c>
      <c r="I23">
        <v>56430.76</v>
      </c>
      <c r="J23" t="s">
        <v>7</v>
      </c>
      <c r="K23" t="s">
        <v>38</v>
      </c>
      <c r="L23" s="14"/>
    </row>
    <row r="24" spans="3:12">
      <c r="C24" t="s">
        <v>19</v>
      </c>
      <c r="D24" t="s">
        <v>20</v>
      </c>
      <c r="E24" t="s">
        <v>39</v>
      </c>
      <c r="F24" t="s">
        <v>22</v>
      </c>
      <c r="G24">
        <v>1</v>
      </c>
      <c r="H24">
        <v>2030</v>
      </c>
      <c r="I24">
        <v>9844.39</v>
      </c>
      <c r="J24" t="s">
        <v>7</v>
      </c>
      <c r="K24" t="s">
        <v>39</v>
      </c>
      <c r="L24" s="14"/>
    </row>
    <row r="25" spans="3:12">
      <c r="C25" t="s">
        <v>19</v>
      </c>
      <c r="D25" t="s">
        <v>20</v>
      </c>
      <c r="E25" t="s">
        <v>40</v>
      </c>
      <c r="F25" t="s">
        <v>22</v>
      </c>
      <c r="G25">
        <v>1</v>
      </c>
      <c r="H25">
        <v>2030</v>
      </c>
      <c r="I25">
        <v>751.12</v>
      </c>
      <c r="J25" t="s">
        <v>7</v>
      </c>
      <c r="K25" t="s">
        <v>471</v>
      </c>
      <c r="L25" s="14"/>
    </row>
    <row r="26" spans="3:12">
      <c r="C26" t="s">
        <v>19</v>
      </c>
      <c r="D26" t="s">
        <v>20</v>
      </c>
      <c r="E26" t="s">
        <v>41</v>
      </c>
      <c r="F26" t="s">
        <v>22</v>
      </c>
      <c r="G26">
        <v>1</v>
      </c>
      <c r="H26">
        <v>2030</v>
      </c>
      <c r="I26">
        <v>2784.71</v>
      </c>
      <c r="J26" t="s">
        <v>7</v>
      </c>
      <c r="K26" t="s">
        <v>471</v>
      </c>
      <c r="L26" s="14"/>
    </row>
    <row r="27" spans="3:12">
      <c r="C27" t="s">
        <v>19</v>
      </c>
      <c r="D27" t="s">
        <v>20</v>
      </c>
      <c r="E27" t="s">
        <v>42</v>
      </c>
      <c r="F27" t="s">
        <v>22</v>
      </c>
      <c r="G27">
        <v>1</v>
      </c>
      <c r="H27">
        <v>2030</v>
      </c>
      <c r="I27">
        <v>106.37</v>
      </c>
      <c r="J27" t="s">
        <v>7</v>
      </c>
      <c r="K27" t="s">
        <v>471</v>
      </c>
      <c r="L27" s="14"/>
    </row>
    <row r="28" spans="3:12">
      <c r="C28" t="s">
        <v>19</v>
      </c>
      <c r="D28" t="s">
        <v>20</v>
      </c>
      <c r="E28" t="s">
        <v>43</v>
      </c>
      <c r="F28" t="s">
        <v>22</v>
      </c>
      <c r="G28">
        <v>1</v>
      </c>
      <c r="H28">
        <v>2030</v>
      </c>
      <c r="I28">
        <v>395.51</v>
      </c>
      <c r="J28" t="s">
        <v>7</v>
      </c>
      <c r="K28" t="s">
        <v>472</v>
      </c>
      <c r="L28" s="14"/>
    </row>
    <row r="29" spans="3:12">
      <c r="C29" t="s">
        <v>19</v>
      </c>
      <c r="D29" t="s">
        <v>20</v>
      </c>
      <c r="E29" t="s">
        <v>44</v>
      </c>
      <c r="F29" t="s">
        <v>22</v>
      </c>
      <c r="G29">
        <v>1</v>
      </c>
      <c r="H29">
        <v>2030</v>
      </c>
      <c r="I29">
        <v>100.33</v>
      </c>
      <c r="J29" t="s">
        <v>7</v>
      </c>
      <c r="K29" t="s">
        <v>474</v>
      </c>
      <c r="L29" s="14"/>
    </row>
    <row r="30" spans="3:12">
      <c r="C30" t="s">
        <v>19</v>
      </c>
      <c r="D30" t="s">
        <v>20</v>
      </c>
      <c r="E30" t="s">
        <v>45</v>
      </c>
      <c r="F30" t="s">
        <v>22</v>
      </c>
      <c r="G30">
        <v>1</v>
      </c>
      <c r="H30">
        <v>2030</v>
      </c>
      <c r="I30">
        <v>37804.050000000003</v>
      </c>
      <c r="J30" t="s">
        <v>7</v>
      </c>
      <c r="K30" t="s">
        <v>37</v>
      </c>
      <c r="L30" s="14"/>
    </row>
    <row r="31" spans="3:12">
      <c r="C31" t="s">
        <v>19</v>
      </c>
      <c r="D31" t="s">
        <v>20</v>
      </c>
      <c r="E31" t="s">
        <v>46</v>
      </c>
      <c r="F31" t="s">
        <v>22</v>
      </c>
      <c r="G31">
        <v>1</v>
      </c>
      <c r="H31">
        <v>2030</v>
      </c>
      <c r="I31">
        <v>634.16</v>
      </c>
      <c r="J31" t="s">
        <v>7</v>
      </c>
      <c r="K31" t="s">
        <v>473</v>
      </c>
      <c r="L31" s="14"/>
    </row>
    <row r="32" spans="3:12">
      <c r="C32" t="s">
        <v>19</v>
      </c>
      <c r="D32" t="s">
        <v>20</v>
      </c>
      <c r="E32" t="s">
        <v>47</v>
      </c>
      <c r="F32" t="s">
        <v>22</v>
      </c>
      <c r="G32">
        <v>1</v>
      </c>
      <c r="H32">
        <v>2030</v>
      </c>
      <c r="I32">
        <v>267.37</v>
      </c>
      <c r="J32" t="s">
        <v>7</v>
      </c>
      <c r="K32" t="s">
        <v>473</v>
      </c>
    </row>
    <row r="33" spans="3:11">
      <c r="C33" t="s">
        <v>48</v>
      </c>
      <c r="D33" t="s">
        <v>20</v>
      </c>
      <c r="E33" t="s">
        <v>21</v>
      </c>
      <c r="F33" t="s">
        <v>22</v>
      </c>
      <c r="G33">
        <v>1</v>
      </c>
      <c r="H33">
        <v>2030</v>
      </c>
      <c r="I33">
        <v>8844.56</v>
      </c>
      <c r="J33" t="s">
        <v>7</v>
      </c>
      <c r="K33" t="s">
        <v>21</v>
      </c>
    </row>
    <row r="34" spans="3:11">
      <c r="C34" t="s">
        <v>48</v>
      </c>
      <c r="D34" t="s">
        <v>20</v>
      </c>
      <c r="E34" t="s">
        <v>23</v>
      </c>
      <c r="F34" t="s">
        <v>22</v>
      </c>
      <c r="G34">
        <v>1</v>
      </c>
      <c r="H34">
        <v>2030</v>
      </c>
      <c r="I34">
        <v>1268.02</v>
      </c>
      <c r="J34" t="s">
        <v>7</v>
      </c>
      <c r="K34" t="s">
        <v>471</v>
      </c>
    </row>
    <row r="35" spans="3:11">
      <c r="C35" t="s">
        <v>48</v>
      </c>
      <c r="D35" t="s">
        <v>20</v>
      </c>
      <c r="E35" t="s">
        <v>24</v>
      </c>
      <c r="F35" t="s">
        <v>22</v>
      </c>
      <c r="G35">
        <v>1</v>
      </c>
      <c r="H35">
        <v>2030</v>
      </c>
      <c r="I35">
        <v>30752.85</v>
      </c>
      <c r="J35" t="s">
        <v>7</v>
      </c>
      <c r="K35" t="s">
        <v>24</v>
      </c>
    </row>
    <row r="36" spans="3:11">
      <c r="C36" t="s">
        <v>48</v>
      </c>
      <c r="D36" t="s">
        <v>20</v>
      </c>
      <c r="E36" t="s">
        <v>25</v>
      </c>
      <c r="F36" t="s">
        <v>22</v>
      </c>
      <c r="G36">
        <v>1</v>
      </c>
      <c r="H36">
        <v>2030</v>
      </c>
      <c r="I36">
        <v>38115.800000000003</v>
      </c>
      <c r="J36" t="s">
        <v>7</v>
      </c>
      <c r="K36" t="s">
        <v>203</v>
      </c>
    </row>
    <row r="37" spans="3:11">
      <c r="C37" t="s">
        <v>48</v>
      </c>
      <c r="D37" t="s">
        <v>20</v>
      </c>
      <c r="E37" t="s">
        <v>26</v>
      </c>
      <c r="F37" t="s">
        <v>22</v>
      </c>
      <c r="G37">
        <v>1</v>
      </c>
      <c r="H37">
        <v>2030</v>
      </c>
      <c r="I37">
        <v>8084.98</v>
      </c>
      <c r="J37" t="s">
        <v>7</v>
      </c>
      <c r="K37" t="s">
        <v>472</v>
      </c>
    </row>
    <row r="38" spans="3:11">
      <c r="C38" t="s">
        <v>48</v>
      </c>
      <c r="D38" t="s">
        <v>20</v>
      </c>
      <c r="E38" t="s">
        <v>27</v>
      </c>
      <c r="F38" t="s">
        <v>22</v>
      </c>
      <c r="G38">
        <v>1</v>
      </c>
      <c r="H38">
        <v>2030</v>
      </c>
      <c r="I38">
        <v>4682.97</v>
      </c>
      <c r="J38" t="s">
        <v>7</v>
      </c>
      <c r="K38" t="s">
        <v>471</v>
      </c>
    </row>
    <row r="39" spans="3:11">
      <c r="C39" t="s">
        <v>48</v>
      </c>
      <c r="D39" t="s">
        <v>20</v>
      </c>
      <c r="E39" t="s">
        <v>28</v>
      </c>
      <c r="F39" t="s">
        <v>22</v>
      </c>
      <c r="G39">
        <v>1</v>
      </c>
      <c r="H39">
        <v>2030</v>
      </c>
      <c r="I39">
        <v>4576.82</v>
      </c>
      <c r="J39" t="s">
        <v>7</v>
      </c>
      <c r="K39" t="s">
        <v>471</v>
      </c>
    </row>
    <row r="40" spans="3:11">
      <c r="C40" t="s">
        <v>48</v>
      </c>
      <c r="D40" t="s">
        <v>20</v>
      </c>
      <c r="E40" t="s">
        <v>29</v>
      </c>
      <c r="F40" t="s">
        <v>22</v>
      </c>
      <c r="G40">
        <v>1</v>
      </c>
      <c r="H40">
        <v>2030</v>
      </c>
      <c r="I40">
        <v>381.65</v>
      </c>
      <c r="J40" t="s">
        <v>7</v>
      </c>
      <c r="K40" t="s">
        <v>471</v>
      </c>
    </row>
    <row r="41" spans="3:11">
      <c r="C41" t="s">
        <v>48</v>
      </c>
      <c r="D41" t="s">
        <v>20</v>
      </c>
      <c r="E41" t="s">
        <v>30</v>
      </c>
      <c r="F41" t="s">
        <v>22</v>
      </c>
      <c r="G41">
        <v>1</v>
      </c>
      <c r="H41">
        <v>2030</v>
      </c>
      <c r="I41">
        <v>22899.8</v>
      </c>
      <c r="J41" t="s">
        <v>7</v>
      </c>
      <c r="K41" t="s">
        <v>30</v>
      </c>
    </row>
    <row r="42" spans="3:11">
      <c r="C42" t="s">
        <v>48</v>
      </c>
      <c r="D42" t="s">
        <v>20</v>
      </c>
      <c r="E42" t="s">
        <v>31</v>
      </c>
      <c r="F42" t="s">
        <v>22</v>
      </c>
      <c r="G42">
        <v>1</v>
      </c>
      <c r="H42">
        <v>2030</v>
      </c>
      <c r="I42">
        <v>5817.74</v>
      </c>
      <c r="J42" t="s">
        <v>7</v>
      </c>
      <c r="K42" t="s">
        <v>474</v>
      </c>
    </row>
    <row r="43" spans="3:11">
      <c r="C43" t="s">
        <v>48</v>
      </c>
      <c r="D43" t="s">
        <v>20</v>
      </c>
      <c r="E43" t="s">
        <v>32</v>
      </c>
      <c r="F43" t="s">
        <v>22</v>
      </c>
      <c r="G43">
        <v>1</v>
      </c>
      <c r="H43">
        <v>2030</v>
      </c>
      <c r="I43">
        <v>6802.81</v>
      </c>
      <c r="J43" t="s">
        <v>7</v>
      </c>
      <c r="K43" t="s">
        <v>32</v>
      </c>
    </row>
    <row r="44" spans="3:11">
      <c r="C44" t="s">
        <v>48</v>
      </c>
      <c r="D44" t="s">
        <v>20</v>
      </c>
      <c r="E44" t="s">
        <v>33</v>
      </c>
      <c r="F44" t="s">
        <v>22</v>
      </c>
      <c r="G44">
        <v>1</v>
      </c>
      <c r="H44">
        <v>2030</v>
      </c>
      <c r="I44">
        <v>1468.6</v>
      </c>
      <c r="J44" t="s">
        <v>7</v>
      </c>
      <c r="K44" t="s">
        <v>33</v>
      </c>
    </row>
    <row r="45" spans="3:11">
      <c r="C45" t="s">
        <v>48</v>
      </c>
      <c r="D45" t="s">
        <v>20</v>
      </c>
      <c r="E45" t="s">
        <v>34</v>
      </c>
      <c r="F45" t="s">
        <v>22</v>
      </c>
      <c r="G45">
        <v>1</v>
      </c>
      <c r="H45">
        <v>2030</v>
      </c>
      <c r="I45">
        <v>0</v>
      </c>
      <c r="J45" t="s">
        <v>7</v>
      </c>
      <c r="K45" t="s">
        <v>471</v>
      </c>
    </row>
    <row r="46" spans="3:11">
      <c r="C46" t="s">
        <v>48</v>
      </c>
      <c r="D46" t="s">
        <v>20</v>
      </c>
      <c r="E46" t="s">
        <v>35</v>
      </c>
      <c r="F46" t="s">
        <v>22</v>
      </c>
      <c r="G46">
        <v>1</v>
      </c>
      <c r="H46">
        <v>2030</v>
      </c>
      <c r="I46">
        <v>113.52</v>
      </c>
      <c r="J46" t="s">
        <v>7</v>
      </c>
      <c r="K46" t="s">
        <v>471</v>
      </c>
    </row>
    <row r="47" spans="3:11">
      <c r="C47" t="s">
        <v>48</v>
      </c>
      <c r="D47" t="s">
        <v>20</v>
      </c>
      <c r="E47" t="s">
        <v>36</v>
      </c>
      <c r="F47" t="s">
        <v>22</v>
      </c>
      <c r="G47">
        <v>1</v>
      </c>
      <c r="H47">
        <v>2030</v>
      </c>
      <c r="I47">
        <v>11097.59</v>
      </c>
      <c r="J47" t="s">
        <v>7</v>
      </c>
      <c r="K47" t="s">
        <v>473</v>
      </c>
    </row>
    <row r="48" spans="3:11">
      <c r="C48" t="s">
        <v>48</v>
      </c>
      <c r="D48" t="s">
        <v>20</v>
      </c>
      <c r="E48" t="s">
        <v>37</v>
      </c>
      <c r="F48" t="s">
        <v>22</v>
      </c>
      <c r="G48">
        <v>1</v>
      </c>
      <c r="H48">
        <v>2030</v>
      </c>
      <c r="I48">
        <v>147100.29999999999</v>
      </c>
      <c r="J48" t="s">
        <v>7</v>
      </c>
      <c r="K48" t="s">
        <v>37</v>
      </c>
    </row>
    <row r="49" spans="3:12">
      <c r="C49" t="s">
        <v>48</v>
      </c>
      <c r="D49" t="s">
        <v>20</v>
      </c>
      <c r="E49" t="s">
        <v>38</v>
      </c>
      <c r="F49" t="s">
        <v>22</v>
      </c>
      <c r="G49">
        <v>1</v>
      </c>
      <c r="H49">
        <v>2030</v>
      </c>
      <c r="I49">
        <v>53887.09</v>
      </c>
      <c r="J49" t="s">
        <v>7</v>
      </c>
      <c r="K49" t="s">
        <v>38</v>
      </c>
    </row>
    <row r="50" spans="3:12">
      <c r="C50" t="s">
        <v>48</v>
      </c>
      <c r="D50" t="s">
        <v>20</v>
      </c>
      <c r="E50" t="s">
        <v>39</v>
      </c>
      <c r="F50" t="s">
        <v>22</v>
      </c>
      <c r="G50">
        <v>1</v>
      </c>
      <c r="H50">
        <v>2030</v>
      </c>
      <c r="I50">
        <v>6248.65</v>
      </c>
      <c r="J50" t="s">
        <v>7</v>
      </c>
      <c r="K50" t="s">
        <v>39</v>
      </c>
    </row>
    <row r="51" spans="3:12">
      <c r="C51" t="s">
        <v>48</v>
      </c>
      <c r="D51" t="s">
        <v>20</v>
      </c>
      <c r="E51" t="s">
        <v>40</v>
      </c>
      <c r="F51" t="s">
        <v>22</v>
      </c>
      <c r="G51">
        <v>1</v>
      </c>
      <c r="H51">
        <v>2030</v>
      </c>
      <c r="I51">
        <v>751.12</v>
      </c>
      <c r="J51" t="s">
        <v>7</v>
      </c>
      <c r="K51" t="s">
        <v>471</v>
      </c>
    </row>
    <row r="52" spans="3:12">
      <c r="C52" t="s">
        <v>48</v>
      </c>
      <c r="D52" t="s">
        <v>20</v>
      </c>
      <c r="E52" t="s">
        <v>41</v>
      </c>
      <c r="F52" t="s">
        <v>22</v>
      </c>
      <c r="G52">
        <v>1</v>
      </c>
      <c r="H52">
        <v>2030</v>
      </c>
      <c r="I52">
        <v>2804.14</v>
      </c>
      <c r="J52" t="s">
        <v>7</v>
      </c>
      <c r="K52" t="s">
        <v>471</v>
      </c>
    </row>
    <row r="53" spans="3:12">
      <c r="C53" t="s">
        <v>48</v>
      </c>
      <c r="D53" t="s">
        <v>20</v>
      </c>
      <c r="E53" t="s">
        <v>42</v>
      </c>
      <c r="F53" t="s">
        <v>22</v>
      </c>
      <c r="G53">
        <v>1</v>
      </c>
      <c r="H53">
        <v>2030</v>
      </c>
      <c r="I53">
        <v>125.47</v>
      </c>
      <c r="J53" t="s">
        <v>7</v>
      </c>
      <c r="K53" t="s">
        <v>471</v>
      </c>
    </row>
    <row r="54" spans="3:12">
      <c r="C54" t="s">
        <v>48</v>
      </c>
      <c r="D54" t="s">
        <v>20</v>
      </c>
      <c r="E54" t="s">
        <v>43</v>
      </c>
      <c r="F54" t="s">
        <v>22</v>
      </c>
      <c r="G54">
        <v>1</v>
      </c>
      <c r="H54">
        <v>2030</v>
      </c>
      <c r="I54">
        <v>412.88</v>
      </c>
      <c r="J54" t="s">
        <v>7</v>
      </c>
      <c r="K54" t="s">
        <v>472</v>
      </c>
      <c r="L54" s="14"/>
    </row>
    <row r="55" spans="3:12">
      <c r="C55" t="s">
        <v>48</v>
      </c>
      <c r="D55" t="s">
        <v>20</v>
      </c>
      <c r="E55" t="s">
        <v>44</v>
      </c>
      <c r="F55" t="s">
        <v>22</v>
      </c>
      <c r="G55">
        <v>1</v>
      </c>
      <c r="H55">
        <v>2030</v>
      </c>
      <c r="I55">
        <v>183.97</v>
      </c>
      <c r="J55" t="s">
        <v>7</v>
      </c>
      <c r="K55" t="s">
        <v>474</v>
      </c>
      <c r="L55" s="14"/>
    </row>
    <row r="56" spans="3:12">
      <c r="C56" t="s">
        <v>48</v>
      </c>
      <c r="D56" t="s">
        <v>20</v>
      </c>
      <c r="E56" t="s">
        <v>45</v>
      </c>
      <c r="F56" t="s">
        <v>22</v>
      </c>
      <c r="G56">
        <v>1</v>
      </c>
      <c r="H56">
        <v>2030</v>
      </c>
      <c r="I56">
        <v>19877.89</v>
      </c>
      <c r="J56" t="s">
        <v>7</v>
      </c>
      <c r="K56" t="s">
        <v>37</v>
      </c>
      <c r="L56" s="14"/>
    </row>
    <row r="57" spans="3:12">
      <c r="C57" t="s">
        <v>48</v>
      </c>
      <c r="D57" t="s">
        <v>20</v>
      </c>
      <c r="E57" t="s">
        <v>46</v>
      </c>
      <c r="F57" t="s">
        <v>22</v>
      </c>
      <c r="G57">
        <v>1</v>
      </c>
      <c r="H57">
        <v>2030</v>
      </c>
      <c r="I57">
        <v>634.16</v>
      </c>
      <c r="J57" t="s">
        <v>7</v>
      </c>
      <c r="K57" t="s">
        <v>473</v>
      </c>
      <c r="L57" s="14"/>
    </row>
    <row r="58" spans="3:12">
      <c r="C58" t="s">
        <v>48</v>
      </c>
      <c r="D58" t="s">
        <v>20</v>
      </c>
      <c r="E58" t="s">
        <v>47</v>
      </c>
      <c r="F58" t="s">
        <v>22</v>
      </c>
      <c r="G58">
        <v>1</v>
      </c>
      <c r="H58">
        <v>2030</v>
      </c>
      <c r="I58">
        <v>530.53</v>
      </c>
      <c r="J58" t="s">
        <v>7</v>
      </c>
      <c r="K58" t="s">
        <v>473</v>
      </c>
      <c r="L58" s="14"/>
    </row>
    <row r="59" spans="3:12">
      <c r="C59" t="s">
        <v>49</v>
      </c>
      <c r="D59" t="s">
        <v>20</v>
      </c>
      <c r="E59" t="s">
        <v>21</v>
      </c>
      <c r="F59" t="s">
        <v>22</v>
      </c>
      <c r="G59">
        <v>1</v>
      </c>
      <c r="H59">
        <v>2030</v>
      </c>
      <c r="I59">
        <v>6321.39</v>
      </c>
      <c r="J59" t="s">
        <v>7</v>
      </c>
      <c r="K59" t="s">
        <v>21</v>
      </c>
      <c r="L59" s="14"/>
    </row>
    <row r="60" spans="3:12">
      <c r="C60" t="s">
        <v>49</v>
      </c>
      <c r="D60" t="s">
        <v>20</v>
      </c>
      <c r="E60" t="s">
        <v>23</v>
      </c>
      <c r="F60" t="s">
        <v>22</v>
      </c>
      <c r="G60">
        <v>1</v>
      </c>
      <c r="H60">
        <v>2030</v>
      </c>
      <c r="I60">
        <v>957.24</v>
      </c>
      <c r="J60" t="s">
        <v>7</v>
      </c>
      <c r="K60" t="s">
        <v>471</v>
      </c>
      <c r="L60" s="14"/>
    </row>
    <row r="61" spans="3:12">
      <c r="C61" t="s">
        <v>49</v>
      </c>
      <c r="D61" t="s">
        <v>20</v>
      </c>
      <c r="E61" t="s">
        <v>24</v>
      </c>
      <c r="F61" t="s">
        <v>22</v>
      </c>
      <c r="G61">
        <v>1</v>
      </c>
      <c r="H61">
        <v>2030</v>
      </c>
      <c r="I61">
        <v>26663.95</v>
      </c>
      <c r="J61" t="s">
        <v>7</v>
      </c>
      <c r="K61" t="s">
        <v>24</v>
      </c>
      <c r="L61" s="14"/>
    </row>
    <row r="62" spans="3:12">
      <c r="C62" t="s">
        <v>49</v>
      </c>
      <c r="D62" t="s">
        <v>20</v>
      </c>
      <c r="E62" t="s">
        <v>25</v>
      </c>
      <c r="F62" t="s">
        <v>22</v>
      </c>
      <c r="G62">
        <v>1</v>
      </c>
      <c r="H62">
        <v>2030</v>
      </c>
      <c r="I62">
        <v>22813.1</v>
      </c>
      <c r="J62" t="s">
        <v>7</v>
      </c>
      <c r="K62" t="s">
        <v>203</v>
      </c>
      <c r="L62" s="14"/>
    </row>
    <row r="63" spans="3:12">
      <c r="C63" t="s">
        <v>49</v>
      </c>
      <c r="D63" t="s">
        <v>20</v>
      </c>
      <c r="E63" t="s">
        <v>26</v>
      </c>
      <c r="F63" t="s">
        <v>22</v>
      </c>
      <c r="G63">
        <v>1</v>
      </c>
      <c r="H63">
        <v>2030</v>
      </c>
      <c r="I63">
        <v>9321.7000000000007</v>
      </c>
      <c r="J63" t="s">
        <v>7</v>
      </c>
      <c r="K63" t="s">
        <v>472</v>
      </c>
      <c r="L63" s="14"/>
    </row>
    <row r="64" spans="3:12">
      <c r="C64" t="s">
        <v>49</v>
      </c>
      <c r="D64" t="s">
        <v>20</v>
      </c>
      <c r="E64" t="s">
        <v>27</v>
      </c>
      <c r="F64" t="s">
        <v>22</v>
      </c>
      <c r="G64">
        <v>1</v>
      </c>
      <c r="H64">
        <v>2030</v>
      </c>
      <c r="I64">
        <v>3229.07</v>
      </c>
      <c r="J64" t="s">
        <v>7</v>
      </c>
      <c r="K64" t="s">
        <v>471</v>
      </c>
      <c r="L64" s="14"/>
    </row>
    <row r="65" spans="3:12">
      <c r="C65" t="s">
        <v>49</v>
      </c>
      <c r="D65" t="s">
        <v>20</v>
      </c>
      <c r="E65" t="s">
        <v>28</v>
      </c>
      <c r="F65" t="s">
        <v>22</v>
      </c>
      <c r="G65">
        <v>1</v>
      </c>
      <c r="H65">
        <v>2030</v>
      </c>
      <c r="I65">
        <v>3978.02</v>
      </c>
      <c r="J65" t="s">
        <v>7</v>
      </c>
      <c r="K65" t="s">
        <v>471</v>
      </c>
      <c r="L65" s="14"/>
    </row>
    <row r="66" spans="3:12">
      <c r="C66" t="s">
        <v>49</v>
      </c>
      <c r="D66" t="s">
        <v>20</v>
      </c>
      <c r="E66" t="s">
        <v>29</v>
      </c>
      <c r="F66" t="s">
        <v>22</v>
      </c>
      <c r="G66">
        <v>1</v>
      </c>
      <c r="H66">
        <v>2030</v>
      </c>
      <c r="I66">
        <v>117.3</v>
      </c>
      <c r="J66" t="s">
        <v>7</v>
      </c>
      <c r="K66" t="s">
        <v>471</v>
      </c>
      <c r="L66" s="14"/>
    </row>
    <row r="67" spans="3:12">
      <c r="C67" t="s">
        <v>49</v>
      </c>
      <c r="D67" t="s">
        <v>20</v>
      </c>
      <c r="E67" t="s">
        <v>30</v>
      </c>
      <c r="F67" t="s">
        <v>22</v>
      </c>
      <c r="G67">
        <v>1</v>
      </c>
      <c r="H67">
        <v>2030</v>
      </c>
      <c r="I67">
        <v>68112.77</v>
      </c>
      <c r="J67" t="s">
        <v>7</v>
      </c>
      <c r="K67" t="s">
        <v>30</v>
      </c>
      <c r="L67" s="14"/>
    </row>
    <row r="68" spans="3:12">
      <c r="C68" t="s">
        <v>49</v>
      </c>
      <c r="D68" t="s">
        <v>20</v>
      </c>
      <c r="E68" t="s">
        <v>50</v>
      </c>
      <c r="F68" t="s">
        <v>22</v>
      </c>
      <c r="G68">
        <v>1</v>
      </c>
      <c r="H68">
        <v>2030</v>
      </c>
      <c r="I68">
        <v>862.21</v>
      </c>
      <c r="J68" t="s">
        <v>7</v>
      </c>
      <c r="K68" t="s">
        <v>471</v>
      </c>
      <c r="L68" s="14"/>
    </row>
    <row r="69" spans="3:12">
      <c r="C69" t="s">
        <v>49</v>
      </c>
      <c r="D69" t="s">
        <v>20</v>
      </c>
      <c r="E69" t="s">
        <v>34</v>
      </c>
      <c r="F69" t="s">
        <v>22</v>
      </c>
      <c r="G69">
        <v>1</v>
      </c>
      <c r="H69">
        <v>2030</v>
      </c>
      <c r="I69">
        <v>107.62</v>
      </c>
      <c r="J69" t="s">
        <v>7</v>
      </c>
      <c r="K69" t="s">
        <v>471</v>
      </c>
      <c r="L69" s="14"/>
    </row>
    <row r="70" spans="3:12">
      <c r="C70" t="s">
        <v>49</v>
      </c>
      <c r="D70" t="s">
        <v>20</v>
      </c>
      <c r="E70" t="s">
        <v>35</v>
      </c>
      <c r="F70" t="s">
        <v>22</v>
      </c>
      <c r="G70">
        <v>1</v>
      </c>
      <c r="H70">
        <v>2030</v>
      </c>
      <c r="I70">
        <v>617.87</v>
      </c>
      <c r="J70" t="s">
        <v>7</v>
      </c>
      <c r="K70" t="s">
        <v>471</v>
      </c>
      <c r="L70" s="14"/>
    </row>
    <row r="71" spans="3:12">
      <c r="C71" t="s">
        <v>49</v>
      </c>
      <c r="D71" t="s">
        <v>20</v>
      </c>
      <c r="E71" t="s">
        <v>36</v>
      </c>
      <c r="F71" t="s">
        <v>22</v>
      </c>
      <c r="G71">
        <v>1</v>
      </c>
      <c r="H71">
        <v>2030</v>
      </c>
      <c r="I71">
        <v>11143.84</v>
      </c>
      <c r="J71" t="s">
        <v>7</v>
      </c>
      <c r="K71" t="s">
        <v>473</v>
      </c>
      <c r="L71" s="14"/>
    </row>
    <row r="72" spans="3:12">
      <c r="C72" t="s">
        <v>49</v>
      </c>
      <c r="D72" t="s">
        <v>20</v>
      </c>
      <c r="E72" t="s">
        <v>37</v>
      </c>
      <c r="F72" t="s">
        <v>22</v>
      </c>
      <c r="G72">
        <v>1</v>
      </c>
      <c r="H72">
        <v>2030</v>
      </c>
      <c r="I72">
        <v>109652.36</v>
      </c>
      <c r="J72" t="s">
        <v>7</v>
      </c>
      <c r="K72" t="s">
        <v>37</v>
      </c>
      <c r="L72" s="14"/>
    </row>
    <row r="73" spans="3:12">
      <c r="C73" t="s">
        <v>49</v>
      </c>
      <c r="D73" t="s">
        <v>20</v>
      </c>
      <c r="E73" t="s">
        <v>38</v>
      </c>
      <c r="F73" t="s">
        <v>22</v>
      </c>
      <c r="G73">
        <v>1</v>
      </c>
      <c r="H73">
        <v>2030</v>
      </c>
      <c r="I73">
        <v>50236.92</v>
      </c>
      <c r="J73" t="s">
        <v>7</v>
      </c>
      <c r="K73" t="s">
        <v>38</v>
      </c>
      <c r="L73" s="14"/>
    </row>
    <row r="74" spans="3:12">
      <c r="C74" t="s">
        <v>49</v>
      </c>
      <c r="D74" t="s">
        <v>20</v>
      </c>
      <c r="E74" t="s">
        <v>39</v>
      </c>
      <c r="F74" t="s">
        <v>22</v>
      </c>
      <c r="G74">
        <v>1</v>
      </c>
      <c r="H74">
        <v>2030</v>
      </c>
      <c r="I74">
        <v>2041.08</v>
      </c>
      <c r="J74" t="s">
        <v>7</v>
      </c>
      <c r="K74" t="s">
        <v>39</v>
      </c>
      <c r="L74" s="14"/>
    </row>
    <row r="75" spans="3:12">
      <c r="C75" t="s">
        <v>49</v>
      </c>
      <c r="D75" t="s">
        <v>20</v>
      </c>
      <c r="E75" t="s">
        <v>40</v>
      </c>
      <c r="F75" t="s">
        <v>22</v>
      </c>
      <c r="G75">
        <v>1</v>
      </c>
      <c r="H75">
        <v>2030</v>
      </c>
      <c r="I75">
        <v>751.12</v>
      </c>
      <c r="J75" t="s">
        <v>7</v>
      </c>
      <c r="K75" t="s">
        <v>471</v>
      </c>
      <c r="L75" s="14"/>
    </row>
    <row r="76" spans="3:12">
      <c r="C76" t="s">
        <v>49</v>
      </c>
      <c r="D76" t="s">
        <v>20</v>
      </c>
      <c r="E76" t="s">
        <v>41</v>
      </c>
      <c r="F76" t="s">
        <v>22</v>
      </c>
      <c r="G76">
        <v>1</v>
      </c>
      <c r="H76">
        <v>2030</v>
      </c>
      <c r="I76">
        <v>2747.07</v>
      </c>
      <c r="J76" t="s">
        <v>7</v>
      </c>
      <c r="K76" t="s">
        <v>471</v>
      </c>
      <c r="L76" s="14"/>
    </row>
    <row r="77" spans="3:12">
      <c r="C77" t="s">
        <v>49</v>
      </c>
      <c r="D77" t="s">
        <v>20</v>
      </c>
      <c r="E77" t="s">
        <v>42</v>
      </c>
      <c r="F77" t="s">
        <v>22</v>
      </c>
      <c r="G77">
        <v>1</v>
      </c>
      <c r="H77">
        <v>2030</v>
      </c>
      <c r="I77">
        <v>337.16</v>
      </c>
      <c r="J77" t="s">
        <v>7</v>
      </c>
      <c r="K77" t="s">
        <v>471</v>
      </c>
    </row>
    <row r="78" spans="3:12">
      <c r="C78" t="s">
        <v>49</v>
      </c>
      <c r="D78" t="s">
        <v>20</v>
      </c>
      <c r="E78" t="s">
        <v>43</v>
      </c>
      <c r="F78" t="s">
        <v>22</v>
      </c>
      <c r="G78">
        <v>1</v>
      </c>
      <c r="H78">
        <v>2030</v>
      </c>
      <c r="I78">
        <v>103.23</v>
      </c>
      <c r="J78" t="s">
        <v>7</v>
      </c>
      <c r="K78" t="s">
        <v>472</v>
      </c>
    </row>
    <row r="79" spans="3:12">
      <c r="C79" t="s">
        <v>49</v>
      </c>
      <c r="D79" t="s">
        <v>20</v>
      </c>
      <c r="E79" t="s">
        <v>46</v>
      </c>
      <c r="F79" t="s">
        <v>22</v>
      </c>
      <c r="G79">
        <v>1</v>
      </c>
      <c r="H79">
        <v>2030</v>
      </c>
      <c r="I79">
        <v>804.71</v>
      </c>
      <c r="J79" t="s">
        <v>7</v>
      </c>
      <c r="K79" t="s">
        <v>473</v>
      </c>
    </row>
  </sheetData>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64254-AA6E-43A6-81AE-03491A43A036}">
  <sheetPr codeName="Sheet28"/>
  <dimension ref="B2:X38"/>
  <sheetViews>
    <sheetView topLeftCell="A4" workbookViewId="0"/>
  </sheetViews>
  <sheetFormatPr defaultRowHeight="14"/>
  <cols>
    <col min="2" max="2" width="13.75" customWidth="1"/>
    <col min="3" max="3" width="26.75" customWidth="1"/>
    <col min="4" max="4" width="23" customWidth="1"/>
    <col min="5" max="7" width="26.75" customWidth="1"/>
    <col min="8" max="8" width="27.25" bestFit="1" customWidth="1"/>
    <col min="10" max="10" width="22.75" customWidth="1"/>
    <col min="12" max="12" width="18.25" customWidth="1"/>
    <col min="13" max="13" width="9.25" bestFit="1" customWidth="1"/>
  </cols>
  <sheetData>
    <row r="2" spans="2:24">
      <c r="B2" s="96" t="s">
        <v>4</v>
      </c>
      <c r="C2" s="43" t="s">
        <v>302</v>
      </c>
      <c r="D2" s="43"/>
      <c r="E2" s="43"/>
      <c r="F2" s="43"/>
      <c r="G2" s="43"/>
      <c r="H2" s="43"/>
      <c r="I2" s="43"/>
      <c r="J2" s="43"/>
      <c r="K2" s="43"/>
      <c r="L2" s="43"/>
      <c r="M2" s="43"/>
      <c r="N2" s="43"/>
      <c r="O2" s="43"/>
      <c r="P2" s="43"/>
      <c r="Q2" s="43"/>
      <c r="R2" s="43"/>
      <c r="S2" s="43"/>
      <c r="T2" s="43"/>
      <c r="U2" s="43"/>
      <c r="V2" s="43"/>
      <c r="W2" s="43"/>
      <c r="X2" s="43"/>
    </row>
    <row r="3" spans="2:24">
      <c r="B3" s="96" t="s">
        <v>138</v>
      </c>
      <c r="C3" s="43" t="s">
        <v>303</v>
      </c>
      <c r="D3" s="43"/>
      <c r="E3" s="43"/>
      <c r="F3" s="43"/>
      <c r="G3" s="43"/>
      <c r="H3" s="43"/>
      <c r="I3" s="43"/>
      <c r="J3" s="43"/>
      <c r="K3" s="43"/>
      <c r="L3" s="43"/>
      <c r="M3" s="43"/>
      <c r="N3" s="43"/>
      <c r="O3" s="43"/>
      <c r="P3" s="43"/>
      <c r="Q3" s="43"/>
      <c r="R3" s="43"/>
      <c r="S3" s="43"/>
      <c r="T3" s="43"/>
      <c r="U3" s="43"/>
      <c r="V3" s="43"/>
      <c r="W3" s="43"/>
      <c r="X3" s="43"/>
    </row>
    <row r="4" spans="2:24">
      <c r="B4" s="96" t="s">
        <v>8</v>
      </c>
      <c r="C4" s="62" t="s">
        <v>196</v>
      </c>
      <c r="D4" s="43"/>
      <c r="E4" s="43"/>
      <c r="F4" s="43"/>
      <c r="G4" s="43"/>
      <c r="H4" s="43"/>
      <c r="I4" s="43"/>
      <c r="J4" s="43"/>
      <c r="K4" s="43"/>
      <c r="L4" s="43"/>
      <c r="M4" s="43"/>
      <c r="N4" s="43"/>
      <c r="O4" s="43"/>
      <c r="P4" s="43"/>
      <c r="Q4" s="43"/>
      <c r="R4" s="43"/>
      <c r="S4" s="43"/>
      <c r="T4" s="43"/>
      <c r="U4" s="43"/>
      <c r="V4" s="43"/>
      <c r="W4" s="43"/>
      <c r="X4" s="43"/>
    </row>
    <row r="5" spans="2:24">
      <c r="B5" s="43"/>
      <c r="C5" s="43"/>
      <c r="D5" s="43"/>
      <c r="E5" s="43"/>
      <c r="F5" s="43"/>
      <c r="G5" s="43"/>
      <c r="H5" s="43"/>
      <c r="I5" s="43"/>
      <c r="J5" s="43"/>
      <c r="K5" s="43"/>
      <c r="L5" s="43"/>
      <c r="M5" s="43"/>
      <c r="N5" s="43"/>
      <c r="O5" s="43"/>
      <c r="P5" s="43"/>
      <c r="Q5" s="43"/>
      <c r="R5" s="43"/>
      <c r="S5" s="43"/>
      <c r="T5" s="43"/>
      <c r="U5" s="43"/>
      <c r="V5" s="43"/>
      <c r="W5" s="43"/>
      <c r="X5" s="43"/>
    </row>
    <row r="6" spans="2:24" s="19" customFormat="1">
      <c r="B6" s="97" t="s">
        <v>304</v>
      </c>
      <c r="C6" s="98"/>
      <c r="D6" s="98"/>
      <c r="E6" s="98"/>
      <c r="F6" s="98"/>
      <c r="G6" s="98"/>
      <c r="H6" s="98"/>
      <c r="I6" s="98"/>
      <c r="J6" s="98"/>
      <c r="K6" s="98"/>
      <c r="L6" s="98"/>
      <c r="M6" s="98"/>
      <c r="N6" s="98"/>
      <c r="O6" s="98"/>
      <c r="P6" s="98"/>
      <c r="Q6" s="98"/>
      <c r="R6" s="98"/>
      <c r="S6" s="98"/>
      <c r="T6" s="98"/>
      <c r="U6" s="98"/>
      <c r="V6" s="98"/>
      <c r="W6" s="98"/>
      <c r="X6" s="98"/>
    </row>
    <row r="7" spans="2:24">
      <c r="B7" s="43"/>
      <c r="C7" s="43"/>
      <c r="D7" s="43"/>
      <c r="E7" s="43"/>
      <c r="F7" s="43"/>
      <c r="G7" s="43"/>
      <c r="H7" s="43"/>
      <c r="I7" s="43"/>
      <c r="J7" s="43"/>
      <c r="K7" s="43"/>
      <c r="L7" s="43"/>
      <c r="M7" s="43"/>
      <c r="N7" s="43"/>
      <c r="O7" s="43"/>
      <c r="P7" s="43"/>
      <c r="Q7" s="43"/>
      <c r="R7" s="43"/>
      <c r="S7" s="43"/>
      <c r="T7" s="43"/>
      <c r="U7" s="43"/>
      <c r="V7" s="43"/>
      <c r="W7" s="43"/>
      <c r="X7" s="43"/>
    </row>
    <row r="8" spans="2:24">
      <c r="B8" s="168" t="s">
        <v>305</v>
      </c>
      <c r="C8" s="43"/>
      <c r="D8" s="43"/>
      <c r="E8" s="43"/>
      <c r="F8" s="43"/>
      <c r="G8" s="43"/>
      <c r="H8" s="43"/>
      <c r="I8" s="43"/>
      <c r="J8" s="43"/>
      <c r="K8" s="43"/>
      <c r="L8" s="43"/>
      <c r="M8" s="43"/>
      <c r="N8" s="43"/>
      <c r="O8" s="43"/>
      <c r="P8" s="43"/>
      <c r="Q8" s="43"/>
      <c r="R8" s="43"/>
      <c r="S8" s="43"/>
      <c r="T8" s="43"/>
      <c r="U8" s="43"/>
      <c r="V8" s="43"/>
      <c r="W8" s="43"/>
      <c r="X8" s="43"/>
    </row>
    <row r="9" spans="2:24">
      <c r="B9" s="43"/>
      <c r="C9" s="43"/>
      <c r="D9" s="43"/>
      <c r="E9" s="43"/>
      <c r="F9" s="43"/>
      <c r="G9" s="43"/>
      <c r="H9" s="43"/>
      <c r="I9" s="43"/>
      <c r="J9" s="43"/>
      <c r="K9" s="43"/>
      <c r="L9" s="43"/>
      <c r="M9" s="43"/>
      <c r="N9" s="43"/>
      <c r="O9" s="43"/>
      <c r="P9" s="43"/>
      <c r="Q9" s="43"/>
      <c r="R9" s="43"/>
      <c r="S9" s="43"/>
      <c r="T9" s="43"/>
      <c r="U9" s="43"/>
      <c r="V9" s="43"/>
      <c r="W9" s="43"/>
      <c r="X9" s="43"/>
    </row>
    <row r="10" spans="2:24">
      <c r="C10" s="44" t="s">
        <v>306</v>
      </c>
      <c r="D10" s="44" t="s">
        <v>307</v>
      </c>
      <c r="E10" s="44" t="s">
        <v>308</v>
      </c>
      <c r="F10" s="44" t="s">
        <v>309</v>
      </c>
      <c r="G10" s="44" t="s">
        <v>310</v>
      </c>
      <c r="H10" s="44" t="s">
        <v>311</v>
      </c>
      <c r="I10" s="43"/>
      <c r="O10" s="43"/>
      <c r="P10" s="43"/>
      <c r="Q10" s="43"/>
      <c r="R10" s="43"/>
      <c r="S10" s="43"/>
      <c r="T10" s="43"/>
      <c r="U10" s="43"/>
      <c r="V10" s="43"/>
      <c r="W10" s="43"/>
      <c r="X10" s="43"/>
    </row>
    <row r="11" spans="2:24">
      <c r="B11" t="s">
        <v>49</v>
      </c>
      <c r="C11" s="169">
        <v>5754.7780808414564</v>
      </c>
      <c r="D11" s="169">
        <v>18253.202632199995</v>
      </c>
      <c r="E11" s="46">
        <f>C11+D11</f>
        <v>24007.980713041452</v>
      </c>
      <c r="F11" s="63">
        <f>C11/'XR&amp;Inflation'!$C$24</f>
        <v>4906.0341695153074</v>
      </c>
      <c r="G11" s="63">
        <f>D11/'XR&amp;Inflation'!$C$24</f>
        <v>15561.12756368286</v>
      </c>
      <c r="H11" s="63">
        <f>E11/'XR&amp;Inflation'!$C$24</f>
        <v>20467.161733198169</v>
      </c>
      <c r="I11" s="43"/>
      <c r="O11" s="43"/>
      <c r="P11" s="43"/>
      <c r="Q11" s="43"/>
      <c r="R11" s="43"/>
      <c r="S11" s="43"/>
      <c r="T11" s="43"/>
      <c r="U11" s="43"/>
      <c r="V11" s="43"/>
      <c r="W11" s="43"/>
      <c r="X11" s="43"/>
    </row>
    <row r="12" spans="2:24">
      <c r="B12" t="s">
        <v>19</v>
      </c>
      <c r="C12" s="169">
        <v>2556.7669595725761</v>
      </c>
      <c r="D12" s="169">
        <v>9219.6025126999994</v>
      </c>
      <c r="E12" s="46">
        <f t="shared" ref="E12:E13" si="0">C12+D12</f>
        <v>11776.369472272576</v>
      </c>
      <c r="F12" s="63">
        <f>C12/'XR&amp;Inflation'!$C$24</f>
        <v>2179.6819774702267</v>
      </c>
      <c r="G12" s="63">
        <f>D12/'XR&amp;Inflation'!$C$24</f>
        <v>7859.8486894288144</v>
      </c>
      <c r="H12" s="63">
        <f>E12/'XR&amp;Inflation'!$C$24</f>
        <v>10039.530666899042</v>
      </c>
      <c r="I12" s="43"/>
      <c r="O12" s="43"/>
      <c r="P12" s="43"/>
      <c r="Q12" s="43"/>
      <c r="R12" s="43"/>
      <c r="S12" s="43"/>
      <c r="T12" s="43"/>
      <c r="U12" s="43"/>
      <c r="V12" s="43"/>
      <c r="W12" s="43"/>
      <c r="X12" s="43"/>
    </row>
    <row r="13" spans="2:24">
      <c r="B13" t="s">
        <v>48</v>
      </c>
      <c r="C13" s="169">
        <v>2295.2423152898773</v>
      </c>
      <c r="D13" s="169">
        <v>11325.9000643</v>
      </c>
      <c r="E13" s="46">
        <f t="shared" si="0"/>
        <v>13621.142379589877</v>
      </c>
      <c r="F13" s="63">
        <f>C13/'XR&amp;Inflation'!$C$24</f>
        <v>1956.7283165301596</v>
      </c>
      <c r="G13" s="63">
        <f>D13/'XR&amp;Inflation'!$C$24</f>
        <v>9655.498776044331</v>
      </c>
      <c r="H13" s="63">
        <f>E13/'XR&amp;Inflation'!$C$24</f>
        <v>11612.227092574491</v>
      </c>
      <c r="I13" s="43"/>
      <c r="O13" s="43"/>
      <c r="P13" s="43"/>
      <c r="Q13" s="43"/>
      <c r="R13" s="43"/>
      <c r="S13" s="43"/>
      <c r="T13" s="43"/>
      <c r="U13" s="43"/>
      <c r="V13" s="43"/>
      <c r="W13" s="43"/>
      <c r="X13" s="43"/>
    </row>
    <row r="14" spans="2:24">
      <c r="B14" s="43"/>
      <c r="C14" s="63"/>
      <c r="D14" s="63"/>
      <c r="E14" s="46"/>
      <c r="F14" s="63"/>
      <c r="G14" s="63"/>
      <c r="H14" s="63"/>
      <c r="I14" s="43"/>
      <c r="J14" s="43"/>
      <c r="K14" s="43"/>
      <c r="L14" s="43"/>
      <c r="M14" s="43"/>
      <c r="N14" s="43"/>
      <c r="O14" s="43"/>
      <c r="P14" s="43"/>
      <c r="Q14" s="43"/>
      <c r="R14" s="43"/>
      <c r="S14" s="43"/>
      <c r="T14" s="43"/>
      <c r="U14" s="43"/>
      <c r="V14" s="43"/>
      <c r="W14" s="43"/>
      <c r="X14" s="43"/>
    </row>
    <row r="15" spans="2:24">
      <c r="B15" s="115"/>
      <c r="C15" s="63"/>
      <c r="D15" s="63"/>
      <c r="E15" s="46"/>
      <c r="F15" s="63"/>
      <c r="G15" s="63"/>
      <c r="H15" s="63"/>
      <c r="I15" s="43"/>
      <c r="J15" s="43"/>
      <c r="K15" s="43"/>
      <c r="L15" s="43"/>
      <c r="M15" s="43"/>
      <c r="N15" s="43"/>
      <c r="O15" s="43"/>
      <c r="P15" s="43"/>
      <c r="Q15" s="43"/>
      <c r="R15" s="43"/>
      <c r="S15" s="43"/>
      <c r="T15" s="43"/>
      <c r="U15" s="43"/>
      <c r="V15" s="43"/>
      <c r="W15" s="43"/>
      <c r="X15" s="43"/>
    </row>
    <row r="16" spans="2:24">
      <c r="B16" s="43"/>
      <c r="C16" s="43"/>
      <c r="D16" s="43"/>
      <c r="E16" s="43"/>
      <c r="F16" s="43"/>
      <c r="G16" s="43"/>
      <c r="H16" s="43"/>
      <c r="I16" s="43"/>
      <c r="J16" s="43"/>
      <c r="K16" s="43"/>
      <c r="L16" s="43"/>
      <c r="M16" s="43"/>
      <c r="N16" s="43"/>
      <c r="O16" s="43"/>
      <c r="P16" s="43"/>
      <c r="Q16" s="43"/>
      <c r="R16" s="43"/>
      <c r="S16" s="43"/>
      <c r="T16" s="43"/>
      <c r="U16" s="43"/>
      <c r="V16" s="43"/>
      <c r="W16" s="43"/>
      <c r="X16" s="43"/>
    </row>
    <row r="17" spans="2:24">
      <c r="B17" s="43"/>
      <c r="C17" s="61"/>
      <c r="D17" s="61"/>
      <c r="E17" s="43"/>
      <c r="F17" s="43"/>
      <c r="G17" s="43"/>
      <c r="H17" s="61"/>
      <c r="I17" s="43"/>
      <c r="J17" s="61"/>
      <c r="K17" s="61"/>
      <c r="L17" s="61"/>
      <c r="M17" s="61"/>
      <c r="N17" s="61"/>
      <c r="O17" s="61"/>
      <c r="P17" s="61"/>
      <c r="Q17" s="61"/>
      <c r="R17" s="61"/>
      <c r="S17" s="61"/>
      <c r="T17" s="61"/>
      <c r="U17" s="61"/>
      <c r="V17" s="61"/>
      <c r="W17" s="61"/>
      <c r="X17" s="61"/>
    </row>
    <row r="18" spans="2:24">
      <c r="B18" s="43"/>
      <c r="C18" s="66"/>
      <c r="D18" s="43"/>
      <c r="E18" s="66"/>
      <c r="F18" s="66"/>
      <c r="G18" s="66"/>
      <c r="H18" s="45"/>
      <c r="I18" s="43"/>
      <c r="J18" s="45"/>
      <c r="K18" s="45"/>
      <c r="L18" s="45"/>
      <c r="M18" s="45"/>
      <c r="N18" s="45"/>
      <c r="O18" s="45"/>
      <c r="P18" s="45"/>
      <c r="Q18" s="45"/>
      <c r="R18" s="45"/>
      <c r="S18" s="45"/>
      <c r="T18" s="45"/>
      <c r="U18" s="45"/>
      <c r="V18" s="45"/>
      <c r="W18" s="45"/>
      <c r="X18" s="45"/>
    </row>
    <row r="19" spans="2:24">
      <c r="B19" s="43"/>
      <c r="C19" s="67"/>
      <c r="D19" s="43"/>
      <c r="E19" s="67"/>
      <c r="F19" s="67"/>
      <c r="G19" s="67"/>
      <c r="H19" s="45"/>
      <c r="I19" s="43"/>
      <c r="J19" s="45"/>
      <c r="K19" s="45"/>
      <c r="L19" s="45"/>
      <c r="M19" s="45"/>
      <c r="N19" s="45"/>
      <c r="O19" s="45"/>
      <c r="P19" s="45"/>
      <c r="Q19" s="45"/>
      <c r="R19" s="45"/>
      <c r="S19" s="45"/>
      <c r="T19" s="45"/>
      <c r="U19" s="45"/>
      <c r="V19" s="45"/>
      <c r="W19" s="45"/>
      <c r="X19" s="45"/>
    </row>
    <row r="20" spans="2:24">
      <c r="B20" s="43"/>
      <c r="C20" s="67"/>
      <c r="D20" s="43"/>
      <c r="E20" s="67"/>
      <c r="F20" s="67"/>
      <c r="G20" s="67"/>
      <c r="H20" s="45"/>
      <c r="I20" s="43"/>
      <c r="J20" s="45"/>
      <c r="K20" s="45"/>
      <c r="L20" s="45"/>
      <c r="M20" s="45"/>
      <c r="N20" s="45"/>
      <c r="O20" s="45"/>
      <c r="P20" s="45"/>
      <c r="Q20" s="45"/>
      <c r="R20" s="45"/>
      <c r="S20" s="45"/>
      <c r="T20" s="45"/>
      <c r="U20" s="45"/>
      <c r="V20" s="45"/>
      <c r="W20" s="45"/>
      <c r="X20" s="45"/>
    </row>
    <row r="21" spans="2:24">
      <c r="B21" s="43"/>
      <c r="C21" s="67"/>
      <c r="D21" s="43"/>
      <c r="E21" s="67"/>
      <c r="F21" s="67"/>
      <c r="G21" s="67"/>
      <c r="H21" s="45"/>
      <c r="I21" s="43"/>
      <c r="J21" s="45"/>
      <c r="K21" s="45"/>
      <c r="L21" s="45"/>
      <c r="M21" s="45"/>
      <c r="N21" s="45"/>
      <c r="O21" s="45"/>
      <c r="P21" s="45"/>
      <c r="Q21" s="45"/>
      <c r="R21" s="45"/>
      <c r="S21" s="45"/>
      <c r="T21" s="45"/>
      <c r="U21" s="45"/>
      <c r="V21" s="45"/>
      <c r="W21" s="45"/>
      <c r="X21" s="45"/>
    </row>
    <row r="22" spans="2:24">
      <c r="B22" s="43"/>
      <c r="C22" s="67"/>
      <c r="D22" s="43"/>
      <c r="E22" s="67"/>
      <c r="F22" s="67"/>
      <c r="G22" s="67"/>
      <c r="H22" s="43"/>
      <c r="I22" s="43"/>
      <c r="J22" s="43"/>
      <c r="K22" s="43"/>
      <c r="L22" s="43"/>
      <c r="M22" s="43"/>
      <c r="N22" s="43"/>
      <c r="O22" s="43"/>
      <c r="P22" s="43"/>
      <c r="Q22" s="43"/>
      <c r="R22" s="43"/>
      <c r="S22" s="43"/>
      <c r="T22" s="43"/>
      <c r="U22" s="43"/>
      <c r="V22" s="43"/>
      <c r="W22" s="43"/>
      <c r="X22" s="43"/>
    </row>
    <row r="23" spans="2:24">
      <c r="B23" s="43"/>
      <c r="C23" s="43"/>
      <c r="D23" s="43"/>
      <c r="E23" s="43"/>
      <c r="F23" s="43"/>
      <c r="G23" s="43"/>
      <c r="H23" s="43"/>
      <c r="I23" s="43"/>
      <c r="J23" s="43"/>
      <c r="K23" s="43"/>
      <c r="L23" s="43"/>
      <c r="M23" s="43"/>
      <c r="N23" s="43"/>
      <c r="O23" s="43"/>
      <c r="P23" s="43"/>
      <c r="Q23" s="43"/>
      <c r="R23" s="43"/>
      <c r="S23" s="43"/>
      <c r="T23" s="43"/>
      <c r="U23" s="43"/>
      <c r="V23" s="43"/>
      <c r="W23" s="43"/>
      <c r="X23" s="43"/>
    </row>
    <row r="24" spans="2:24">
      <c r="B24" s="61"/>
      <c r="C24" s="43"/>
      <c r="D24" s="43"/>
      <c r="E24" s="43"/>
      <c r="F24" s="43"/>
      <c r="G24" s="43"/>
      <c r="H24" s="43"/>
      <c r="I24" s="43"/>
      <c r="J24" s="43"/>
      <c r="K24" s="43"/>
      <c r="L24" s="43"/>
      <c r="M24" s="43"/>
      <c r="N24" s="43"/>
      <c r="O24" s="43"/>
      <c r="P24" s="43"/>
      <c r="Q24" s="43"/>
      <c r="R24" s="43"/>
      <c r="S24" s="43"/>
      <c r="T24" s="43"/>
      <c r="U24" s="43"/>
      <c r="V24" s="43"/>
      <c r="W24" s="43"/>
      <c r="X24" s="43"/>
    </row>
    <row r="25" spans="2:24">
      <c r="B25" s="43"/>
      <c r="C25" s="43"/>
      <c r="D25" s="43"/>
      <c r="E25" s="43"/>
      <c r="F25" s="43"/>
      <c r="G25" s="43"/>
      <c r="H25" s="43"/>
      <c r="I25" s="43"/>
      <c r="J25" s="43"/>
      <c r="K25" s="43"/>
      <c r="L25" s="43"/>
      <c r="M25" s="43"/>
      <c r="N25" s="43"/>
      <c r="O25" s="43"/>
      <c r="P25" s="43"/>
      <c r="Q25" s="43"/>
      <c r="R25" s="43"/>
      <c r="S25" s="43"/>
      <c r="T25" s="43"/>
      <c r="U25" s="43"/>
      <c r="V25" s="43"/>
      <c r="W25" s="43"/>
      <c r="X25" s="43"/>
    </row>
    <row r="26" spans="2:24">
      <c r="B26" s="43"/>
      <c r="C26" s="61"/>
      <c r="D26" s="61"/>
      <c r="E26" s="43"/>
      <c r="F26" s="43"/>
      <c r="G26" s="43"/>
      <c r="H26" s="61"/>
      <c r="I26" s="43"/>
      <c r="J26" s="61"/>
      <c r="K26" s="61"/>
      <c r="L26" s="61"/>
      <c r="M26" s="61"/>
      <c r="N26" s="61"/>
      <c r="O26" s="61"/>
      <c r="P26" s="61"/>
      <c r="Q26" s="61"/>
      <c r="R26" s="61"/>
      <c r="S26" s="61"/>
      <c r="T26" s="61"/>
      <c r="U26" s="61"/>
      <c r="V26" s="61"/>
      <c r="W26" s="61"/>
      <c r="X26" s="61"/>
    </row>
    <row r="27" spans="2:24">
      <c r="B27" s="43"/>
      <c r="C27" s="43"/>
      <c r="D27" s="45"/>
      <c r="E27" s="43"/>
      <c r="F27" s="43"/>
      <c r="G27" s="43"/>
      <c r="H27" s="43"/>
      <c r="I27" s="43"/>
      <c r="J27" s="45"/>
      <c r="K27" s="45"/>
      <c r="L27" s="45"/>
      <c r="M27" s="45"/>
      <c r="N27" s="45"/>
      <c r="O27" s="45"/>
      <c r="P27" s="45"/>
      <c r="Q27" s="45"/>
      <c r="R27" s="45"/>
      <c r="S27" s="45"/>
      <c r="T27" s="45"/>
      <c r="U27" s="45"/>
      <c r="V27" s="45"/>
      <c r="W27" s="45"/>
      <c r="X27" s="45"/>
    </row>
    <row r="28" spans="2:24">
      <c r="B28" s="43"/>
      <c r="C28" s="43"/>
      <c r="D28" s="45"/>
      <c r="E28" s="43"/>
      <c r="F28" s="43"/>
      <c r="G28" s="43"/>
      <c r="H28" s="43"/>
      <c r="I28" s="43"/>
      <c r="J28" s="45"/>
      <c r="K28" s="45"/>
      <c r="L28" s="45"/>
      <c r="M28" s="45"/>
      <c r="N28" s="45"/>
      <c r="O28" s="45"/>
      <c r="P28" s="45"/>
      <c r="Q28" s="45"/>
      <c r="R28" s="45"/>
      <c r="S28" s="45"/>
      <c r="T28" s="45"/>
      <c r="U28" s="45"/>
      <c r="V28" s="45"/>
      <c r="W28" s="45"/>
      <c r="X28" s="45"/>
    </row>
    <row r="29" spans="2:24">
      <c r="B29" s="43"/>
      <c r="C29" s="43"/>
      <c r="D29" s="45"/>
      <c r="E29" s="43"/>
      <c r="F29" s="43"/>
      <c r="G29" s="43"/>
      <c r="H29" s="43"/>
      <c r="I29" s="43"/>
      <c r="J29" s="45"/>
      <c r="K29" s="45"/>
      <c r="L29" s="45"/>
      <c r="M29" s="45"/>
      <c r="N29" s="45"/>
      <c r="O29" s="45"/>
      <c r="P29" s="45"/>
      <c r="Q29" s="45"/>
      <c r="R29" s="45"/>
      <c r="S29" s="45"/>
      <c r="T29" s="45"/>
      <c r="U29" s="45"/>
      <c r="V29" s="45"/>
      <c r="W29" s="45"/>
      <c r="X29" s="45"/>
    </row>
    <row r="30" spans="2:24">
      <c r="B30" s="43"/>
      <c r="C30" s="43"/>
      <c r="D30" s="45"/>
      <c r="E30" s="43"/>
      <c r="F30" s="43"/>
      <c r="G30" s="43"/>
      <c r="H30" s="43"/>
      <c r="I30" s="43"/>
      <c r="J30" s="45"/>
      <c r="K30" s="45"/>
      <c r="L30" s="45"/>
      <c r="M30" s="45"/>
      <c r="N30" s="45"/>
      <c r="O30" s="45"/>
      <c r="P30" s="45"/>
      <c r="Q30" s="45"/>
      <c r="R30" s="45"/>
      <c r="S30" s="45"/>
      <c r="T30" s="45"/>
      <c r="U30" s="45"/>
      <c r="V30" s="45"/>
      <c r="W30" s="45"/>
      <c r="X30" s="45"/>
    </row>
    <row r="31" spans="2:24">
      <c r="B31" s="43"/>
      <c r="C31" s="43"/>
      <c r="D31" s="43"/>
      <c r="E31" s="43"/>
      <c r="F31" s="43"/>
      <c r="G31" s="43"/>
      <c r="H31" s="43"/>
      <c r="I31" s="43"/>
      <c r="J31" s="43"/>
      <c r="K31" s="43"/>
      <c r="L31" s="43"/>
      <c r="M31" s="43"/>
      <c r="N31" s="43"/>
      <c r="O31" s="43"/>
      <c r="P31" s="43"/>
      <c r="Q31" s="43"/>
      <c r="R31" s="43"/>
      <c r="S31" s="43"/>
      <c r="T31" s="43"/>
      <c r="U31" s="43"/>
      <c r="V31" s="43"/>
      <c r="W31" s="43"/>
      <c r="X31" s="43"/>
    </row>
    <row r="32" spans="2:24">
      <c r="B32" s="61"/>
      <c r="C32" s="43"/>
      <c r="D32" s="43"/>
      <c r="E32" s="43"/>
      <c r="F32" s="43"/>
      <c r="G32" s="43"/>
      <c r="H32" s="43"/>
      <c r="I32" s="43"/>
      <c r="J32" s="43"/>
      <c r="K32" s="43"/>
      <c r="L32" s="43"/>
      <c r="M32" s="43"/>
      <c r="N32" s="43"/>
      <c r="O32" s="43"/>
      <c r="P32" s="43"/>
      <c r="Q32" s="43"/>
      <c r="R32" s="43"/>
      <c r="S32" s="43"/>
      <c r="T32" s="43"/>
      <c r="U32" s="43"/>
      <c r="V32" s="43"/>
      <c r="W32" s="43"/>
      <c r="X32" s="43"/>
    </row>
    <row r="33" spans="2:24">
      <c r="B33" s="43"/>
      <c r="C33" s="43"/>
      <c r="D33" s="43"/>
      <c r="E33" s="43"/>
      <c r="F33" s="43"/>
      <c r="G33" s="43"/>
      <c r="H33" s="43"/>
      <c r="I33" s="43"/>
      <c r="J33" s="43"/>
      <c r="K33" s="43"/>
      <c r="L33" s="43"/>
      <c r="M33" s="43"/>
      <c r="N33" s="43"/>
      <c r="O33" s="43"/>
      <c r="P33" s="43"/>
      <c r="Q33" s="43"/>
      <c r="R33" s="43"/>
      <c r="S33" s="43"/>
      <c r="T33" s="43"/>
      <c r="U33" s="43"/>
      <c r="V33" s="43"/>
      <c r="W33" s="43"/>
      <c r="X33" s="43"/>
    </row>
    <row r="34" spans="2:24">
      <c r="B34" s="43"/>
      <c r="C34" s="61"/>
      <c r="D34" s="61"/>
      <c r="E34" s="43"/>
      <c r="F34" s="43"/>
      <c r="G34" s="43"/>
      <c r="H34" s="61"/>
      <c r="I34" s="43"/>
      <c r="J34" s="61"/>
      <c r="K34" s="61"/>
      <c r="L34" s="61"/>
      <c r="M34" s="61"/>
      <c r="N34" s="61"/>
      <c r="O34" s="61"/>
      <c r="P34" s="61"/>
      <c r="Q34" s="61"/>
      <c r="R34" s="61"/>
      <c r="S34" s="61"/>
      <c r="T34" s="61"/>
      <c r="U34" s="61"/>
      <c r="V34" s="61"/>
      <c r="W34" s="61"/>
      <c r="X34" s="61"/>
    </row>
    <row r="35" spans="2:24">
      <c r="B35" s="43"/>
      <c r="C35" s="43"/>
      <c r="D35" s="45"/>
      <c r="E35" s="43"/>
      <c r="F35" s="43"/>
      <c r="G35" s="43"/>
      <c r="H35" s="43"/>
      <c r="I35" s="43"/>
      <c r="J35" s="45"/>
      <c r="K35" s="45"/>
      <c r="L35" s="45"/>
      <c r="M35" s="45"/>
      <c r="N35" s="45"/>
      <c r="O35" s="45"/>
      <c r="P35" s="45"/>
      <c r="Q35" s="45"/>
      <c r="R35" s="45"/>
      <c r="S35" s="45"/>
      <c r="T35" s="45"/>
      <c r="U35" s="45"/>
      <c r="V35" s="45"/>
      <c r="W35" s="45"/>
      <c r="X35" s="45"/>
    </row>
    <row r="36" spans="2:24">
      <c r="B36" s="43"/>
      <c r="C36" s="43"/>
      <c r="D36" s="45"/>
      <c r="E36" s="43"/>
      <c r="F36" s="43"/>
      <c r="G36" s="43"/>
      <c r="H36" s="43"/>
      <c r="I36" s="43"/>
      <c r="J36" s="45"/>
      <c r="K36" s="45"/>
      <c r="L36" s="45"/>
      <c r="M36" s="45"/>
      <c r="N36" s="45"/>
      <c r="O36" s="45"/>
      <c r="P36" s="45"/>
      <c r="Q36" s="45"/>
      <c r="R36" s="45"/>
      <c r="S36" s="45"/>
      <c r="T36" s="45"/>
      <c r="U36" s="45"/>
      <c r="V36" s="45"/>
      <c r="W36" s="45"/>
      <c r="X36" s="45"/>
    </row>
    <row r="37" spans="2:24">
      <c r="B37" s="43"/>
      <c r="C37" s="43"/>
      <c r="D37" s="45"/>
      <c r="E37" s="43"/>
      <c r="F37" s="43"/>
      <c r="G37" s="43"/>
      <c r="H37" s="43"/>
      <c r="I37" s="43"/>
      <c r="J37" s="45"/>
      <c r="K37" s="45"/>
      <c r="L37" s="45"/>
      <c r="M37" s="45"/>
      <c r="N37" s="45"/>
      <c r="O37" s="45"/>
      <c r="P37" s="45"/>
      <c r="Q37" s="45"/>
      <c r="R37" s="45"/>
      <c r="S37" s="45"/>
      <c r="T37" s="45"/>
      <c r="U37" s="45"/>
      <c r="V37" s="45"/>
      <c r="W37" s="45"/>
      <c r="X37" s="45"/>
    </row>
    <row r="38" spans="2:24">
      <c r="B38" s="43"/>
      <c r="C38" s="43"/>
      <c r="D38" s="45"/>
      <c r="E38" s="43"/>
      <c r="F38" s="43"/>
      <c r="G38" s="43"/>
      <c r="H38" s="43"/>
      <c r="I38" s="43"/>
      <c r="J38" s="45"/>
      <c r="K38" s="45"/>
      <c r="L38" s="45"/>
      <c r="M38" s="45"/>
      <c r="N38" s="45"/>
      <c r="O38" s="45"/>
      <c r="P38" s="45"/>
      <c r="Q38" s="45"/>
      <c r="R38" s="45"/>
      <c r="S38" s="45"/>
      <c r="T38" s="45"/>
      <c r="U38" s="45"/>
      <c r="V38" s="45"/>
      <c r="W38" s="45"/>
      <c r="X38" s="45"/>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981F7-66A9-4886-99DC-65FE8966C6CC}">
  <sheetPr codeName="Sheet25"/>
  <dimension ref="B3:J19"/>
  <sheetViews>
    <sheetView workbookViewId="0"/>
  </sheetViews>
  <sheetFormatPr defaultRowHeight="14"/>
  <cols>
    <col min="2" max="2" width="13.4140625" customWidth="1"/>
    <col min="4" max="4" width="12.75" bestFit="1" customWidth="1"/>
    <col min="6" max="6" width="15.75" bestFit="1" customWidth="1"/>
    <col min="7" max="7" width="12.75" bestFit="1" customWidth="1"/>
    <col min="10" max="10" width="11.75" customWidth="1"/>
  </cols>
  <sheetData>
    <row r="3" spans="2:10">
      <c r="B3" s="96" t="s">
        <v>4</v>
      </c>
      <c r="C3" s="43" t="s">
        <v>475</v>
      </c>
      <c r="D3" s="43"/>
      <c r="E3" s="43"/>
      <c r="F3" s="43"/>
      <c r="G3" s="43"/>
      <c r="H3" s="43"/>
      <c r="I3" s="43"/>
      <c r="J3" s="43"/>
    </row>
    <row r="4" spans="2:10">
      <c r="B4" s="96" t="s">
        <v>341</v>
      </c>
      <c r="C4" s="106" t="s">
        <v>387</v>
      </c>
      <c r="D4" s="43"/>
      <c r="E4" s="43"/>
      <c r="F4" s="43"/>
      <c r="G4" s="43"/>
      <c r="H4" s="43"/>
      <c r="I4" s="43"/>
      <c r="J4" s="43"/>
    </row>
    <row r="5" spans="2:10">
      <c r="B5" s="96" t="s">
        <v>8</v>
      </c>
      <c r="C5" s="62" t="s">
        <v>196</v>
      </c>
      <c r="D5" s="43"/>
      <c r="E5" s="43"/>
      <c r="F5" s="43"/>
      <c r="G5" s="43"/>
      <c r="H5" s="43"/>
      <c r="I5" s="43"/>
      <c r="J5" s="43"/>
    </row>
    <row r="6" spans="2:10">
      <c r="B6" s="43"/>
      <c r="C6" s="106"/>
      <c r="D6" s="43"/>
      <c r="E6" s="43"/>
      <c r="F6" s="43"/>
      <c r="G6" s="43"/>
      <c r="H6" s="43"/>
      <c r="I6" s="43"/>
      <c r="J6" s="43"/>
    </row>
    <row r="7" spans="2:10">
      <c r="B7" s="168" t="s">
        <v>10</v>
      </c>
      <c r="C7" s="106"/>
      <c r="D7" s="43"/>
      <c r="E7" s="43"/>
      <c r="F7" s="43"/>
      <c r="G7" s="43"/>
      <c r="H7" s="43"/>
      <c r="I7" s="43"/>
      <c r="J7" s="43"/>
    </row>
    <row r="8" spans="2:10">
      <c r="B8" s="43"/>
      <c r="C8" s="106"/>
      <c r="D8" s="43"/>
      <c r="E8" s="43"/>
      <c r="F8" s="43"/>
      <c r="G8" s="43"/>
      <c r="H8" s="43"/>
      <c r="I8" s="43"/>
      <c r="J8" s="43"/>
    </row>
    <row r="9" spans="2:10">
      <c r="B9" s="44" t="s">
        <v>476</v>
      </c>
      <c r="C9" s="43"/>
      <c r="D9" s="43"/>
      <c r="E9" s="43"/>
      <c r="F9" s="43" t="s">
        <v>388</v>
      </c>
      <c r="G9" s="43"/>
      <c r="H9" s="43"/>
      <c r="I9" s="43" t="s">
        <v>389</v>
      </c>
      <c r="J9" s="43"/>
    </row>
    <row r="10" spans="2:10">
      <c r="B10" s="43"/>
      <c r="C10" s="43"/>
      <c r="D10" s="43"/>
      <c r="E10" s="43"/>
      <c r="F10" s="43"/>
      <c r="G10" s="43"/>
      <c r="H10" s="43"/>
      <c r="I10" s="43"/>
      <c r="J10" s="43"/>
    </row>
    <row r="11" spans="2:10">
      <c r="B11" s="43"/>
      <c r="C11" s="44" t="s">
        <v>11</v>
      </c>
      <c r="D11" s="44">
        <v>2030</v>
      </c>
      <c r="E11" s="43"/>
      <c r="F11" s="44" t="s">
        <v>33</v>
      </c>
      <c r="G11" s="44" t="s">
        <v>32</v>
      </c>
      <c r="H11" s="43"/>
      <c r="I11" s="44" t="s">
        <v>33</v>
      </c>
      <c r="J11" s="44" t="s">
        <v>32</v>
      </c>
    </row>
    <row r="12" spans="2:10">
      <c r="F12" s="115" t="s">
        <v>390</v>
      </c>
      <c r="G12" s="115" t="s">
        <v>390</v>
      </c>
    </row>
    <row r="13" spans="2:10">
      <c r="B13" s="43"/>
      <c r="C13" s="43" t="s">
        <v>49</v>
      </c>
      <c r="D13" s="107">
        <v>0</v>
      </c>
      <c r="E13" s="43"/>
      <c r="F13" s="179">
        <v>0</v>
      </c>
      <c r="G13" s="179">
        <v>0</v>
      </c>
      <c r="H13" s="43"/>
      <c r="I13" s="181">
        <v>0.97</v>
      </c>
      <c r="J13" s="180">
        <v>-1</v>
      </c>
    </row>
    <row r="14" spans="2:10">
      <c r="B14" s="43"/>
      <c r="C14" s="43" t="s">
        <v>19</v>
      </c>
      <c r="D14" s="107">
        <v>3439579</v>
      </c>
      <c r="E14" s="43"/>
      <c r="F14" s="179">
        <v>0</v>
      </c>
      <c r="G14" s="179">
        <v>-3439579</v>
      </c>
      <c r="H14" s="43"/>
      <c r="I14" s="181">
        <v>0.97</v>
      </c>
      <c r="J14" s="180">
        <v>-1</v>
      </c>
    </row>
    <row r="15" spans="2:10">
      <c r="B15" s="43"/>
      <c r="C15" s="43" t="s">
        <v>48</v>
      </c>
      <c r="D15" s="107">
        <v>7301023.6120999996</v>
      </c>
      <c r="E15" s="43"/>
      <c r="F15" s="179">
        <v>633318.93000000005</v>
      </c>
      <c r="G15" s="179">
        <v>-6686704.25</v>
      </c>
      <c r="H15" s="43"/>
      <c r="I15" s="181">
        <v>0.97</v>
      </c>
      <c r="J15" s="180">
        <v>-1</v>
      </c>
    </row>
    <row r="17" spans="4:4">
      <c r="D17" s="108"/>
    </row>
    <row r="18" spans="4:4">
      <c r="D18" s="108"/>
    </row>
    <row r="19" spans="4:4">
      <c r="D19" s="108"/>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ACB7E-A55C-4D1A-A1E8-6E9C7929F0D1}">
  <sheetPr codeName="Sheet30"/>
  <dimension ref="B2:G51"/>
  <sheetViews>
    <sheetView topLeftCell="A11" zoomScale="80" zoomScaleNormal="80" workbookViewId="0">
      <selection activeCell="A81" sqref="A81"/>
    </sheetView>
  </sheetViews>
  <sheetFormatPr defaultRowHeight="14"/>
  <cols>
    <col min="2" max="2" width="42.75" customWidth="1"/>
    <col min="3" max="3" width="15.75" bestFit="1" customWidth="1"/>
    <col min="4" max="4" width="27.4140625" bestFit="1" customWidth="1"/>
    <col min="5" max="5" width="13.58203125" bestFit="1" customWidth="1"/>
    <col min="6" max="6" width="17.75" customWidth="1"/>
    <col min="7" max="7" width="18.75" bestFit="1" customWidth="1"/>
    <col min="8" max="8" width="11.25" bestFit="1" customWidth="1"/>
    <col min="9" max="9" width="15.75" bestFit="1" customWidth="1"/>
    <col min="10" max="10" width="8.75" bestFit="1" customWidth="1"/>
    <col min="11" max="11" width="12.25" bestFit="1" customWidth="1"/>
    <col min="12" max="12" width="12.75" customWidth="1"/>
    <col min="13" max="13" width="11.75" bestFit="1" customWidth="1"/>
    <col min="14" max="14" width="12.25" bestFit="1" customWidth="1"/>
  </cols>
  <sheetData>
    <row r="2" spans="2:7">
      <c r="B2" s="42" t="s">
        <v>194</v>
      </c>
      <c r="C2" t="s">
        <v>312</v>
      </c>
    </row>
    <row r="3" spans="2:7">
      <c r="B3" s="42" t="s">
        <v>138</v>
      </c>
      <c r="C3" t="s">
        <v>81</v>
      </c>
    </row>
    <row r="4" spans="2:7">
      <c r="B4" s="42" t="s">
        <v>8</v>
      </c>
      <c r="C4" t="s">
        <v>196</v>
      </c>
    </row>
    <row r="6" spans="2:7" s="19" customFormat="1">
      <c r="B6" s="20" t="s">
        <v>314</v>
      </c>
    </row>
    <row r="7" spans="2:7">
      <c r="B7" s="10"/>
    </row>
    <row r="8" spans="2:7">
      <c r="B8" s="165" t="s">
        <v>10</v>
      </c>
    </row>
    <row r="9" spans="2:7" ht="14.5">
      <c r="B9" s="10"/>
      <c r="C9" s="87" t="s">
        <v>70</v>
      </c>
      <c r="D9" s="87" t="s">
        <v>316</v>
      </c>
      <c r="G9" s="130"/>
    </row>
    <row r="10" spans="2:7" ht="14.5">
      <c r="B10" s="93" t="s">
        <v>49</v>
      </c>
      <c r="C10" s="89">
        <v>2030</v>
      </c>
      <c r="D10" s="123">
        <v>4450.07</v>
      </c>
      <c r="F10" s="18"/>
      <c r="G10" s="91"/>
    </row>
    <row r="11" spans="2:7" ht="14.5">
      <c r="B11" s="93"/>
      <c r="C11" s="49"/>
      <c r="D11" s="48"/>
      <c r="G11" s="91"/>
    </row>
    <row r="12" spans="2:7" ht="14.5">
      <c r="B12" s="95" t="s">
        <v>317</v>
      </c>
      <c r="C12" s="87" t="s">
        <v>70</v>
      </c>
      <c r="D12" s="88" t="s">
        <v>316</v>
      </c>
      <c r="F12" s="18"/>
      <c r="G12" s="130"/>
    </row>
    <row r="13" spans="2:7" ht="14.5">
      <c r="B13" s="47" t="s">
        <v>19</v>
      </c>
      <c r="C13" s="89" t="s">
        <v>477</v>
      </c>
      <c r="D13" s="123">
        <v>3411.27</v>
      </c>
      <c r="F13" s="18"/>
      <c r="G13" s="90"/>
    </row>
    <row r="14" spans="2:7" ht="14.5">
      <c r="B14" s="47"/>
      <c r="C14" s="89"/>
      <c r="D14" s="89"/>
      <c r="G14" s="89"/>
    </row>
    <row r="15" spans="2:7" ht="14.5">
      <c r="B15" s="95" t="s">
        <v>318</v>
      </c>
      <c r="C15" s="87" t="s">
        <v>70</v>
      </c>
      <c r="D15" s="88" t="s">
        <v>316</v>
      </c>
      <c r="F15" s="18"/>
      <c r="G15" s="130"/>
    </row>
    <row r="16" spans="2:7" ht="14.5">
      <c r="B16" s="47" t="s">
        <v>48</v>
      </c>
      <c r="C16" s="89" t="s">
        <v>477</v>
      </c>
      <c r="D16" s="123">
        <v>2959.27</v>
      </c>
      <c r="G16" s="90"/>
    </row>
    <row r="17" spans="2:6">
      <c r="B17" s="10"/>
    </row>
    <row r="18" spans="2:6">
      <c r="B18" s="10"/>
    </row>
    <row r="19" spans="2:6">
      <c r="B19" s="223" t="s">
        <v>319</v>
      </c>
    </row>
    <row r="20" spans="2:6">
      <c r="B20" s="10"/>
    </row>
    <row r="21" spans="2:6">
      <c r="B21" s="10"/>
      <c r="C21" s="5" t="s">
        <v>49</v>
      </c>
      <c r="D21" s="5" t="s">
        <v>19</v>
      </c>
      <c r="E21" s="5" t="s">
        <v>48</v>
      </c>
    </row>
    <row r="22" spans="2:6">
      <c r="C22">
        <v>2030</v>
      </c>
      <c r="D22">
        <v>2030</v>
      </c>
      <c r="E22">
        <v>2030</v>
      </c>
    </row>
    <row r="23" spans="2:6">
      <c r="B23" s="62" t="s">
        <v>320</v>
      </c>
      <c r="C23" s="235">
        <v>4237.8413785187249</v>
      </c>
      <c r="D23" s="235">
        <v>3288.1106769665098</v>
      </c>
      <c r="E23" s="235">
        <v>2810.7271658569407</v>
      </c>
    </row>
    <row r="24" spans="2:6">
      <c r="B24" s="62" t="s">
        <v>321</v>
      </c>
      <c r="C24" s="12">
        <f>C37</f>
        <v>212.22862148127496</v>
      </c>
      <c r="D24" s="12">
        <f t="shared" ref="D24:E24" si="0">D37</f>
        <v>123.15932303348661</v>
      </c>
      <c r="E24" s="12">
        <f t="shared" si="0"/>
        <v>148.54283414305914</v>
      </c>
    </row>
    <row r="25" spans="2:6">
      <c r="B25" s="223" t="s">
        <v>315</v>
      </c>
      <c r="C25" s="46">
        <f>C23+C24</f>
        <v>4450.07</v>
      </c>
      <c r="D25" s="46">
        <f>D23+D24</f>
        <v>3411.2699999999963</v>
      </c>
      <c r="E25" s="46">
        <f t="shared" ref="E25" si="1">E23+E24</f>
        <v>2959.27</v>
      </c>
    </row>
    <row r="26" spans="2:6">
      <c r="B26" s="223"/>
      <c r="C26" s="233"/>
      <c r="D26" s="233"/>
      <c r="E26" s="233"/>
    </row>
    <row r="27" spans="2:6">
      <c r="B27" s="62" t="s">
        <v>486</v>
      </c>
    </row>
    <row r="28" spans="2:6" ht="14.5">
      <c r="B28" s="226" t="s">
        <v>322</v>
      </c>
    </row>
    <row r="29" spans="2:6" ht="14.5">
      <c r="B29" s="48"/>
      <c r="C29" s="213" t="s">
        <v>49</v>
      </c>
      <c r="D29" s="5" t="s">
        <v>19</v>
      </c>
      <c r="E29" s="5" t="s">
        <v>48</v>
      </c>
      <c r="F29" t="s">
        <v>8</v>
      </c>
    </row>
    <row r="30" spans="2:6" ht="14.5">
      <c r="B30" t="s">
        <v>482</v>
      </c>
      <c r="C30" s="228">
        <v>39607272594.153397</v>
      </c>
      <c r="D30" s="228">
        <v>17596954132.967701</v>
      </c>
      <c r="E30" s="228">
        <v>15797010193.323799</v>
      </c>
      <c r="F30" t="s">
        <v>324</v>
      </c>
    </row>
    <row r="31" spans="2:6" ht="14.5">
      <c r="B31" t="s">
        <v>483</v>
      </c>
      <c r="C31" s="228">
        <v>40709452742.005402</v>
      </c>
      <c r="D31" s="228">
        <v>18311439350.537201</v>
      </c>
      <c r="E31" s="228">
        <v>16658752987.5923</v>
      </c>
      <c r="F31" t="s">
        <v>324</v>
      </c>
    </row>
    <row r="32" spans="2:6" ht="14.5">
      <c r="B32" t="s">
        <v>326</v>
      </c>
      <c r="C32" s="231">
        <f>C31-C30</f>
        <v>1102180147.852005</v>
      </c>
      <c r="D32" s="231">
        <f t="shared" ref="D32:E32" si="2">D31-D30</f>
        <v>714485217.56949997</v>
      </c>
      <c r="E32" s="231">
        <f t="shared" si="2"/>
        <v>861742794.26850128</v>
      </c>
    </row>
    <row r="33" spans="2:6" ht="14.5">
      <c r="B33" t="s">
        <v>327</v>
      </c>
      <c r="C33" s="227">
        <v>0.36095589099999997</v>
      </c>
      <c r="D33" s="227">
        <v>0.36095589099999997</v>
      </c>
      <c r="E33" s="227">
        <v>0.36095589099999997</v>
      </c>
      <c r="F33" s="18" t="s">
        <v>328</v>
      </c>
    </row>
    <row r="34" spans="2:6" ht="14.5">
      <c r="B34" t="s">
        <v>330</v>
      </c>
      <c r="C34" s="237">
        <v>0.14529599500000001</v>
      </c>
      <c r="D34" s="237">
        <v>0.16789599499999999</v>
      </c>
      <c r="E34" s="237">
        <v>0.16789599499999999</v>
      </c>
      <c r="F34" t="s">
        <v>485</v>
      </c>
    </row>
    <row r="35" spans="2:6" ht="14.5">
      <c r="B35" t="s">
        <v>331</v>
      </c>
      <c r="C35" s="231">
        <f>C32*(C33-C34)</f>
        <v>237696056.05902797</v>
      </c>
      <c r="D35" s="231">
        <f t="shared" ref="D35:E35" si="3">D32*(D33-D34)</f>
        <v>137938441.79750502</v>
      </c>
      <c r="E35" s="231">
        <f t="shared" si="3"/>
        <v>166367974.24022624</v>
      </c>
    </row>
    <row r="36" spans="2:6" ht="14.5">
      <c r="B36" t="s">
        <v>332</v>
      </c>
      <c r="C36" s="227">
        <f>1/1.12</f>
        <v>0.89285714285714279</v>
      </c>
      <c r="D36" s="227">
        <f>1/1.12</f>
        <v>0.89285714285714279</v>
      </c>
      <c r="E36" s="227">
        <f>1/1.12</f>
        <v>0.89285714285714279</v>
      </c>
      <c r="F36" t="s">
        <v>333</v>
      </c>
    </row>
    <row r="37" spans="2:6" ht="14.5">
      <c r="B37" t="s">
        <v>334</v>
      </c>
      <c r="C37" s="232">
        <f>C35*C36/10^6</f>
        <v>212.22862148127496</v>
      </c>
      <c r="D37" s="232">
        <f t="shared" ref="D37" si="4">D35*D36/10^6</f>
        <v>123.15932303348661</v>
      </c>
      <c r="E37" s="232">
        <f>E35*E36/10^6</f>
        <v>148.54283414305914</v>
      </c>
    </row>
    <row r="40" spans="2:6">
      <c r="B40" s="10"/>
    </row>
    <row r="41" spans="2:6" s="19" customFormat="1">
      <c r="B41" s="20" t="s">
        <v>335</v>
      </c>
    </row>
    <row r="43" spans="2:6">
      <c r="C43" s="18"/>
    </row>
    <row r="46" spans="2:6" ht="14.5">
      <c r="B46" s="48"/>
      <c r="C46" s="48"/>
    </row>
    <row r="47" spans="2:6" ht="14.5">
      <c r="B47" s="212" t="s">
        <v>478</v>
      </c>
      <c r="C47" s="213" t="s">
        <v>337</v>
      </c>
      <c r="D47" s="5">
        <v>2030</v>
      </c>
    </row>
    <row r="48" spans="2:6" ht="14.5">
      <c r="B48" s="49" t="s">
        <v>338</v>
      </c>
      <c r="C48" s="48"/>
      <c r="D48" s="1">
        <v>268</v>
      </c>
    </row>
    <row r="49" spans="2:4" ht="14.5">
      <c r="B49" s="49" t="s">
        <v>339</v>
      </c>
      <c r="C49" s="48"/>
      <c r="D49" s="1">
        <v>83</v>
      </c>
    </row>
    <row r="50" spans="2:4" ht="14.5">
      <c r="C50" s="48"/>
    </row>
    <row r="51" spans="2:4" ht="14.5">
      <c r="B51" s="48"/>
      <c r="C51" s="48"/>
    </row>
  </sheetData>
  <hyperlinks>
    <hyperlink ref="F33" r:id="rId1" location="annex-1-carbon-values-in-2020-prices-per-tonne-of-co2" xr:uid="{F82B6172-49EC-45E6-9FEC-1F08484C1377}"/>
  </hyperlinks>
  <pageMargins left="0.7" right="0.7" top="0.75" bottom="0.75" header="0.3" footer="0.3"/>
  <pageSetup paperSize="9" orientation="portrait"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C0E06-FA19-4EA0-A4E7-3C06AD261A02}">
  <sheetPr codeName="Sheet31"/>
  <dimension ref="B3:E30"/>
  <sheetViews>
    <sheetView workbookViewId="0"/>
  </sheetViews>
  <sheetFormatPr defaultRowHeight="14"/>
  <cols>
    <col min="2" max="2" width="14.25" bestFit="1" customWidth="1"/>
    <col min="4" max="4" width="12.4140625" customWidth="1"/>
    <col min="5" max="5" width="15.25" customWidth="1"/>
    <col min="6" max="6" width="12.75" bestFit="1" customWidth="1"/>
  </cols>
  <sheetData>
    <row r="3" spans="2:5">
      <c r="B3" s="42" t="s">
        <v>4</v>
      </c>
      <c r="C3" t="s">
        <v>340</v>
      </c>
    </row>
    <row r="4" spans="2:5">
      <c r="B4" s="42" t="s">
        <v>341</v>
      </c>
      <c r="C4" t="s">
        <v>342</v>
      </c>
    </row>
    <row r="5" spans="2:5">
      <c r="B5" s="42" t="s">
        <v>8</v>
      </c>
      <c r="C5" t="s">
        <v>313</v>
      </c>
    </row>
    <row r="7" spans="2:5">
      <c r="B7" s="165" t="s">
        <v>10</v>
      </c>
    </row>
    <row r="9" spans="2:5">
      <c r="B9" t="s">
        <v>343</v>
      </c>
      <c r="C9" t="s">
        <v>344</v>
      </c>
    </row>
    <row r="11" spans="2:5">
      <c r="C11" s="42" t="s">
        <v>11</v>
      </c>
      <c r="D11" s="42" t="s">
        <v>70</v>
      </c>
      <c r="E11" s="42" t="s">
        <v>345</v>
      </c>
    </row>
    <row r="12" spans="2:5">
      <c r="C12" t="s">
        <v>19</v>
      </c>
      <c r="D12">
        <v>2030</v>
      </c>
      <c r="E12" s="166">
        <v>3186.24</v>
      </c>
    </row>
    <row r="13" spans="2:5">
      <c r="C13" t="s">
        <v>48</v>
      </c>
      <c r="D13">
        <v>2030</v>
      </c>
      <c r="E13" s="166">
        <v>4156.84</v>
      </c>
    </row>
    <row r="14" spans="2:5">
      <c r="C14" t="s">
        <v>49</v>
      </c>
      <c r="D14">
        <v>2030</v>
      </c>
      <c r="E14" s="166">
        <v>7324.14</v>
      </c>
    </row>
    <row r="17" spans="2:5">
      <c r="B17" t="s">
        <v>343</v>
      </c>
      <c r="C17" t="s">
        <v>346</v>
      </c>
    </row>
    <row r="19" spans="2:5">
      <c r="C19" s="42" t="s">
        <v>11</v>
      </c>
      <c r="D19" s="42" t="s">
        <v>70</v>
      </c>
      <c r="E19" s="42" t="s">
        <v>345</v>
      </c>
    </row>
    <row r="20" spans="2:5">
      <c r="C20" t="s">
        <v>19</v>
      </c>
      <c r="D20">
        <v>2030</v>
      </c>
      <c r="E20" s="166">
        <v>-5335.26</v>
      </c>
    </row>
    <row r="21" spans="2:5">
      <c r="C21" t="s">
        <v>48</v>
      </c>
      <c r="D21">
        <v>2030</v>
      </c>
      <c r="E21" s="166">
        <v>-5680.88</v>
      </c>
    </row>
    <row r="22" spans="2:5">
      <c r="C22" t="s">
        <v>49</v>
      </c>
      <c r="D22">
        <v>2030</v>
      </c>
      <c r="E22" s="166">
        <v>-7305.09</v>
      </c>
    </row>
    <row r="25" spans="2:5">
      <c r="B25" t="s">
        <v>347</v>
      </c>
    </row>
    <row r="26" spans="2:5">
      <c r="D26" t="s">
        <v>348</v>
      </c>
      <c r="E26" t="s">
        <v>349</v>
      </c>
    </row>
    <row r="27" spans="2:5">
      <c r="D27" s="13"/>
      <c r="E27" s="13"/>
    </row>
    <row r="28" spans="2:5">
      <c r="C28" t="s">
        <v>19</v>
      </c>
      <c r="D28" s="139">
        <f>E12+E20</f>
        <v>-2149.0200000000004</v>
      </c>
      <c r="E28" s="139">
        <f>D28/'XR&amp;Inflation'!$C$24</f>
        <v>-1832.0716112531973</v>
      </c>
    </row>
    <row r="29" spans="2:5">
      <c r="C29" t="s">
        <v>48</v>
      </c>
      <c r="D29" s="139">
        <f>E13+E21</f>
        <v>-1524.04</v>
      </c>
      <c r="E29" s="139">
        <f>D29/'XR&amp;Inflation'!$C$24</f>
        <v>-1299.2668371696504</v>
      </c>
    </row>
    <row r="30" spans="2:5">
      <c r="C30" t="s">
        <v>49</v>
      </c>
      <c r="D30" s="139">
        <f>E14+E22</f>
        <v>19.050000000000182</v>
      </c>
      <c r="E30" s="139">
        <f>D30/'XR&amp;Inflation'!$C$24</f>
        <v>16.240409207161282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90BF3-EAC6-499C-8285-C72F9BE151D0}">
  <sheetPr codeName="Sheet6">
    <pageSetUpPr autoPageBreaks="0"/>
  </sheetPr>
  <dimension ref="A1:AH155"/>
  <sheetViews>
    <sheetView topLeftCell="A52" workbookViewId="0">
      <selection activeCell="J66" sqref="J66"/>
    </sheetView>
  </sheetViews>
  <sheetFormatPr defaultRowHeight="14"/>
  <cols>
    <col min="1" max="1" width="1.75" customWidth="1"/>
    <col min="2" max="2" width="30.25" customWidth="1"/>
    <col min="3" max="3" width="42.75" customWidth="1"/>
    <col min="4" max="5" width="18.75" customWidth="1"/>
    <col min="6" max="6" width="12.25" bestFit="1" customWidth="1"/>
    <col min="7" max="16" width="9.25" bestFit="1" customWidth="1"/>
    <col min="17" max="17" width="9.75" bestFit="1" customWidth="1"/>
    <col min="19" max="19" width="9.75" bestFit="1" customWidth="1"/>
  </cols>
  <sheetData>
    <row r="1" spans="1:7" ht="10.4" customHeight="1"/>
    <row r="2" spans="1:7" s="102" customFormat="1">
      <c r="A2" s="11"/>
      <c r="B2" s="9" t="s">
        <v>51</v>
      </c>
      <c r="C2" s="11"/>
    </row>
    <row r="3" spans="1:7" s="102" customFormat="1">
      <c r="B3" s="10"/>
    </row>
    <row r="4" spans="1:7" s="102" customFormat="1">
      <c r="B4" s="141" t="s">
        <v>52</v>
      </c>
    </row>
    <row r="5" spans="1:7" s="102" customFormat="1">
      <c r="B5" s="142" t="s">
        <v>53</v>
      </c>
    </row>
    <row r="6" spans="1:7" s="102" customFormat="1">
      <c r="B6" s="143" t="s">
        <v>54</v>
      </c>
    </row>
    <row r="7" spans="1:7">
      <c r="B7" s="144" t="s">
        <v>55</v>
      </c>
    </row>
    <row r="8" spans="1:7">
      <c r="B8" s="25"/>
    </row>
    <row r="9" spans="1:7" s="102" customFormat="1">
      <c r="B9" s="96" t="s">
        <v>4</v>
      </c>
      <c r="C9" s="43" t="s">
        <v>56</v>
      </c>
    </row>
    <row r="10" spans="1:7" s="102" customFormat="1">
      <c r="B10" s="96" t="s">
        <v>6</v>
      </c>
      <c r="C10" t="s">
        <v>57</v>
      </c>
    </row>
    <row r="11" spans="1:7" s="102" customFormat="1">
      <c r="B11" s="96" t="s">
        <v>8</v>
      </c>
      <c r="C11" s="18" t="s">
        <v>58</v>
      </c>
    </row>
    <row r="13" spans="1:7">
      <c r="B13" s="5" t="s">
        <v>59</v>
      </c>
      <c r="C13" s="5" t="s">
        <v>60</v>
      </c>
      <c r="D13" s="5" t="s">
        <v>61</v>
      </c>
      <c r="E13" s="5" t="s">
        <v>62</v>
      </c>
      <c r="F13" s="5" t="s">
        <v>8</v>
      </c>
      <c r="G13" s="5" t="s">
        <v>63</v>
      </c>
    </row>
    <row r="14" spans="1:7">
      <c r="B14" t="s">
        <v>64</v>
      </c>
      <c r="C14" s="145">
        <v>4.5699999999999998E-2</v>
      </c>
      <c r="D14" s="145">
        <v>6.3500000000000001E-2</v>
      </c>
      <c r="F14" t="s">
        <v>65</v>
      </c>
      <c r="G14" s="18" t="s">
        <v>58</v>
      </c>
    </row>
    <row r="15" spans="1:7">
      <c r="B15" t="s">
        <v>66</v>
      </c>
      <c r="C15" s="145">
        <v>3.1300000000000001E-2</v>
      </c>
      <c r="D15" s="145">
        <v>3.1300000000000001E-2</v>
      </c>
      <c r="F15" t="s">
        <v>67</v>
      </c>
      <c r="G15" s="18" t="s">
        <v>58</v>
      </c>
    </row>
    <row r="16" spans="1:7">
      <c r="B16" t="s">
        <v>68</v>
      </c>
      <c r="C16" s="146">
        <v>0.6</v>
      </c>
      <c r="D16" s="146">
        <v>0.6</v>
      </c>
      <c r="F16" t="s">
        <v>65</v>
      </c>
    </row>
    <row r="17" spans="2:5">
      <c r="B17" s="5" t="s">
        <v>56</v>
      </c>
      <c r="C17" s="147">
        <f>C15*C16+C14*(1-C16)</f>
        <v>3.7060000000000003E-2</v>
      </c>
      <c r="D17" s="147">
        <f>D15*D16+D14*(1-D16)</f>
        <v>4.4180000000000004E-2</v>
      </c>
      <c r="E17" s="147">
        <f>AVERAGE(C17:D17)</f>
        <v>4.0620000000000003E-2</v>
      </c>
    </row>
    <row r="19" spans="2:5">
      <c r="B19" s="96" t="s">
        <v>4</v>
      </c>
      <c r="C19" s="43" t="s">
        <v>69</v>
      </c>
    </row>
    <row r="20" spans="2:5">
      <c r="B20" s="96" t="s">
        <v>6</v>
      </c>
      <c r="C20" t="s">
        <v>70</v>
      </c>
    </row>
    <row r="21" spans="2:5">
      <c r="B21" s="96" t="s">
        <v>8</v>
      </c>
      <c r="C21" s="18" t="s">
        <v>58</v>
      </c>
    </row>
    <row r="23" spans="2:5">
      <c r="B23" s="5"/>
      <c r="C23" s="5" t="s">
        <v>71</v>
      </c>
      <c r="D23" s="5" t="s">
        <v>8</v>
      </c>
    </row>
    <row r="24" spans="2:5">
      <c r="B24" s="5" t="s">
        <v>72</v>
      </c>
      <c r="C24" s="1">
        <v>45</v>
      </c>
      <c r="D24" t="s">
        <v>73</v>
      </c>
    </row>
    <row r="25" spans="2:5">
      <c r="B25" s="5"/>
    </row>
    <row r="26" spans="2:5">
      <c r="B26" s="96" t="s">
        <v>4</v>
      </c>
      <c r="C26" s="43" t="s">
        <v>74</v>
      </c>
    </row>
    <row r="27" spans="2:5">
      <c r="B27" s="96" t="s">
        <v>6</v>
      </c>
      <c r="C27" t="s">
        <v>75</v>
      </c>
    </row>
    <row r="28" spans="2:5">
      <c r="B28" s="96" t="s">
        <v>8</v>
      </c>
      <c r="C28" t="s">
        <v>76</v>
      </c>
    </row>
    <row r="31" spans="2:5" ht="14.5">
      <c r="B31" s="5"/>
      <c r="C31" s="117"/>
    </row>
    <row r="32" spans="2:5">
      <c r="B32" t="s">
        <v>77</v>
      </c>
      <c r="C32" t="s">
        <v>78</v>
      </c>
      <c r="D32" s="210">
        <v>28101.297500000001</v>
      </c>
    </row>
    <row r="33" spans="2:13">
      <c r="B33" t="s">
        <v>79</v>
      </c>
      <c r="C33" t="s">
        <v>78</v>
      </c>
      <c r="D33" s="210">
        <v>27809.8675</v>
      </c>
    </row>
    <row r="34" spans="2:13" ht="14.5">
      <c r="B34" s="5"/>
      <c r="C34" s="117"/>
    </row>
    <row r="35" spans="2:13">
      <c r="B35" s="96" t="s">
        <v>4</v>
      </c>
      <c r="C35" s="43" t="s">
        <v>80</v>
      </c>
    </row>
    <row r="36" spans="2:13">
      <c r="B36" s="96" t="s">
        <v>6</v>
      </c>
      <c r="C36" t="s">
        <v>81</v>
      </c>
    </row>
    <row r="37" spans="2:13">
      <c r="B37" s="96" t="s">
        <v>8</v>
      </c>
      <c r="C37" t="s">
        <v>82</v>
      </c>
      <c r="D37" s="18"/>
    </row>
    <row r="38" spans="2:13">
      <c r="B38" s="61"/>
      <c r="C38" t="s">
        <v>83</v>
      </c>
      <c r="D38" s="127"/>
    </row>
    <row r="39" spans="2:13">
      <c r="B39" s="61"/>
      <c r="C39" t="s">
        <v>84</v>
      </c>
      <c r="D39" s="127" t="s">
        <v>63</v>
      </c>
    </row>
    <row r="40" spans="2:13" ht="14.5">
      <c r="B40" s="5"/>
      <c r="C40" s="120"/>
    </row>
    <row r="41" spans="2:13" ht="14.5">
      <c r="B41" s="5"/>
      <c r="C41" s="120" t="s">
        <v>85</v>
      </c>
      <c r="D41" t="s">
        <v>86</v>
      </c>
      <c r="E41" s="1">
        <f>999.3/5</f>
        <v>199.85999999999999</v>
      </c>
    </row>
    <row r="42" spans="2:13" ht="14.5">
      <c r="B42" s="5"/>
      <c r="C42" s="120" t="s">
        <v>85</v>
      </c>
      <c r="D42" t="s">
        <v>87</v>
      </c>
      <c r="E42" s="137">
        <f>E41*('XR&amp;Inflation'!I24/'XR&amp;Inflation'!I18)</f>
        <v>247.28924946390276</v>
      </c>
    </row>
    <row r="43" spans="2:13" ht="14.5">
      <c r="B43" s="5"/>
      <c r="C43" s="120"/>
    </row>
    <row r="44" spans="2:13" ht="14.5">
      <c r="B44" s="5"/>
      <c r="C44" s="126" t="s">
        <v>88</v>
      </c>
      <c r="D44" s="5" t="s">
        <v>89</v>
      </c>
      <c r="E44" s="5" t="s">
        <v>6</v>
      </c>
      <c r="F44" s="5">
        <v>2023</v>
      </c>
      <c r="G44" s="5">
        <v>2024</v>
      </c>
      <c r="H44" s="5">
        <v>2025</v>
      </c>
      <c r="I44" s="5">
        <v>2026</v>
      </c>
      <c r="J44" s="5">
        <v>2027</v>
      </c>
      <c r="K44" s="5">
        <v>2028</v>
      </c>
      <c r="L44" s="5">
        <v>2029</v>
      </c>
      <c r="M44" s="5">
        <v>2030</v>
      </c>
    </row>
    <row r="45" spans="2:13" ht="14.5">
      <c r="B45" s="5"/>
      <c r="C45" s="120" t="s">
        <v>90</v>
      </c>
      <c r="D45" t="s">
        <v>49</v>
      </c>
      <c r="E45" t="s">
        <v>91</v>
      </c>
      <c r="F45" s="148">
        <v>57.548000000000002</v>
      </c>
      <c r="G45" s="148">
        <v>58.741</v>
      </c>
      <c r="H45" s="148">
        <v>59.135999999999996</v>
      </c>
      <c r="I45" s="148">
        <v>59.702000000000005</v>
      </c>
      <c r="J45" s="148">
        <v>60.476999999999997</v>
      </c>
      <c r="K45" s="148">
        <v>61.518000000000001</v>
      </c>
      <c r="L45" s="148">
        <v>62.69100000000001</v>
      </c>
      <c r="M45" s="148">
        <v>63.793000000000006</v>
      </c>
    </row>
    <row r="46" spans="2:13" ht="14.5">
      <c r="B46" s="5"/>
      <c r="C46" s="120" t="s">
        <v>90</v>
      </c>
      <c r="D46" t="s">
        <v>19</v>
      </c>
      <c r="E46" t="s">
        <v>91</v>
      </c>
      <c r="F46" s="1">
        <v>57.6</v>
      </c>
      <c r="G46" s="1">
        <v>57.4</v>
      </c>
      <c r="H46" s="1">
        <v>57.7</v>
      </c>
      <c r="I46" s="1">
        <v>58.2</v>
      </c>
      <c r="J46" s="1">
        <v>59.1</v>
      </c>
      <c r="K46" s="1">
        <v>60</v>
      </c>
      <c r="L46" s="1">
        <v>61.2</v>
      </c>
      <c r="M46" s="1">
        <v>62.4</v>
      </c>
    </row>
    <row r="47" spans="2:13" ht="14.5">
      <c r="B47" s="5"/>
      <c r="C47" s="120" t="s">
        <v>90</v>
      </c>
      <c r="D47" t="s">
        <v>48</v>
      </c>
      <c r="E47" t="s">
        <v>91</v>
      </c>
      <c r="F47" s="1">
        <v>57.6</v>
      </c>
      <c r="G47" s="1">
        <v>57.4</v>
      </c>
      <c r="H47" s="1">
        <v>57.7</v>
      </c>
      <c r="I47" s="1">
        <v>58.2</v>
      </c>
      <c r="J47" s="1">
        <v>59.1</v>
      </c>
      <c r="K47" s="148">
        <v>60</v>
      </c>
      <c r="L47" s="1">
        <v>61.2</v>
      </c>
      <c r="M47" s="1">
        <v>62.4</v>
      </c>
    </row>
    <row r="48" spans="2:13" ht="14.5">
      <c r="B48" s="5"/>
      <c r="C48" s="120"/>
      <c r="K48" s="4"/>
    </row>
    <row r="49" spans="1:11" ht="14.5">
      <c r="B49" s="5"/>
      <c r="C49" s="126" t="s">
        <v>54</v>
      </c>
      <c r="D49" s="5" t="s">
        <v>89</v>
      </c>
      <c r="E49" s="5" t="s">
        <v>6</v>
      </c>
      <c r="K49" s="4"/>
    </row>
    <row r="50" spans="1:11" ht="14.5">
      <c r="B50" s="5"/>
      <c r="C50" s="120" t="s">
        <v>92</v>
      </c>
      <c r="D50" t="s">
        <v>49</v>
      </c>
      <c r="E50" t="s">
        <v>93</v>
      </c>
      <c r="F50" s="137">
        <f>M45/F45</f>
        <v>1.1085181066240357</v>
      </c>
      <c r="K50" s="4"/>
    </row>
    <row r="51" spans="1:11" ht="14.5">
      <c r="B51" s="5"/>
      <c r="C51" s="120" t="s">
        <v>92</v>
      </c>
      <c r="D51" t="s">
        <v>19</v>
      </c>
      <c r="E51" t="s">
        <v>93</v>
      </c>
      <c r="F51" s="137">
        <f>M46/F46</f>
        <v>1.0833333333333333</v>
      </c>
      <c r="K51" s="4"/>
    </row>
    <row r="52" spans="1:11" ht="14.5">
      <c r="B52" s="5"/>
      <c r="C52" s="120" t="s">
        <v>92</v>
      </c>
      <c r="D52" t="s">
        <v>48</v>
      </c>
      <c r="E52" t="s">
        <v>93</v>
      </c>
      <c r="F52" s="137">
        <f>M47/F47</f>
        <v>1.0833333333333333</v>
      </c>
    </row>
    <row r="53" spans="1:11" ht="14.5">
      <c r="B53" s="5"/>
      <c r="C53" s="120"/>
      <c r="F53" s="12"/>
    </row>
    <row r="54" spans="1:11" ht="14.5">
      <c r="B54" s="5"/>
      <c r="C54" s="126" t="s">
        <v>88</v>
      </c>
      <c r="D54" s="5" t="s">
        <v>89</v>
      </c>
      <c r="E54" s="5" t="s">
        <v>6</v>
      </c>
      <c r="F54" s="12"/>
    </row>
    <row r="55" spans="1:11" ht="14.5">
      <c r="B55" s="5"/>
      <c r="C55" s="120" t="s">
        <v>94</v>
      </c>
      <c r="D55" t="s">
        <v>49</v>
      </c>
      <c r="E55" t="s">
        <v>81</v>
      </c>
      <c r="F55" s="137">
        <f>$E$42*F50</f>
        <v>274.12461060420435</v>
      </c>
    </row>
    <row r="56" spans="1:11" ht="14.5">
      <c r="B56" s="5"/>
      <c r="C56" s="120" t="s">
        <v>94</v>
      </c>
      <c r="D56" t="s">
        <v>19</v>
      </c>
      <c r="E56" t="s">
        <v>81</v>
      </c>
      <c r="F56" s="137">
        <f>$E$42*F51</f>
        <v>267.89668691922799</v>
      </c>
    </row>
    <row r="57" spans="1:11" ht="14.5">
      <c r="B57" s="5"/>
      <c r="C57" s="120" t="s">
        <v>94</v>
      </c>
      <c r="D57" t="s">
        <v>48</v>
      </c>
      <c r="E57" t="s">
        <v>81</v>
      </c>
      <c r="F57" s="137">
        <f>$E$42*F52</f>
        <v>267.89668691922799</v>
      </c>
    </row>
    <row r="58" spans="1:11" ht="14.5">
      <c r="B58" s="5"/>
      <c r="C58" s="120"/>
      <c r="D58" s="118"/>
    </row>
    <row r="59" spans="1:11" ht="14.5">
      <c r="B59" s="5"/>
      <c r="C59" s="117"/>
    </row>
    <row r="61" spans="1:11" s="102" customFormat="1">
      <c r="A61" s="11"/>
      <c r="B61" s="9" t="s">
        <v>95</v>
      </c>
      <c r="C61" s="11"/>
    </row>
    <row r="62" spans="1:11" s="102" customFormat="1">
      <c r="B62" s="10"/>
    </row>
    <row r="63" spans="1:11" s="102" customFormat="1">
      <c r="B63" s="96" t="s">
        <v>4</v>
      </c>
      <c r="C63" s="43" t="s">
        <v>96</v>
      </c>
    </row>
    <row r="64" spans="1:11" s="102" customFormat="1">
      <c r="B64" s="96" t="s">
        <v>6</v>
      </c>
      <c r="C64" t="s">
        <v>97</v>
      </c>
    </row>
    <row r="65" spans="2:5" s="102" customFormat="1">
      <c r="B65" s="96" t="s">
        <v>8</v>
      </c>
      <c r="C65" s="62" t="s">
        <v>98</v>
      </c>
    </row>
    <row r="66" spans="2:5" s="102" customFormat="1">
      <c r="B66" s="61"/>
      <c r="C66" s="62"/>
    </row>
    <row r="67" spans="2:5" s="102" customFormat="1">
      <c r="B67" s="141" t="s">
        <v>52</v>
      </c>
      <c r="C67" s="62"/>
    </row>
    <row r="68" spans="2:5" s="102" customFormat="1">
      <c r="B68" s="142" t="s">
        <v>53</v>
      </c>
      <c r="C68" s="62"/>
    </row>
    <row r="69" spans="2:5" s="102" customFormat="1">
      <c r="B69" s="143" t="s">
        <v>54</v>
      </c>
      <c r="C69" s="62"/>
    </row>
    <row r="70" spans="2:5" s="102" customFormat="1">
      <c r="B70" s="144" t="s">
        <v>55</v>
      </c>
      <c r="C70" s="62"/>
    </row>
    <row r="71" spans="2:5" s="102" customFormat="1">
      <c r="B71" s="61"/>
      <c r="C71" s="62"/>
    </row>
    <row r="72" spans="2:5" s="102" customFormat="1">
      <c r="B72" s="104" t="s">
        <v>99</v>
      </c>
    </row>
    <row r="73" spans="2:5" s="102" customFormat="1">
      <c r="B73" s="10"/>
    </row>
    <row r="74" spans="2:5" s="102" customFormat="1">
      <c r="B74" t="s">
        <v>100</v>
      </c>
      <c r="C74">
        <v>45</v>
      </c>
      <c r="D74" s="16" t="s">
        <v>8</v>
      </c>
      <c r="E74" s="18" t="s">
        <v>101</v>
      </c>
    </row>
    <row r="75" spans="2:5" s="102" customFormat="1">
      <c r="B75" t="s">
        <v>102</v>
      </c>
      <c r="C75" s="14">
        <v>3.2599999999999997E-2</v>
      </c>
      <c r="D75" s="16" t="s">
        <v>8</v>
      </c>
      <c r="E75" s="18" t="s">
        <v>103</v>
      </c>
    </row>
    <row r="77" spans="2:5" s="102" customFormat="1">
      <c r="B77" s="20" t="s">
        <v>104</v>
      </c>
    </row>
    <row r="78" spans="2:5" s="102" customFormat="1">
      <c r="B78" s="10"/>
    </row>
    <row r="79" spans="2:5">
      <c r="B79" s="5" t="s">
        <v>105</v>
      </c>
      <c r="C79" t="s">
        <v>106</v>
      </c>
      <c r="D79" t="s">
        <v>8</v>
      </c>
      <c r="E79" s="18" t="s">
        <v>107</v>
      </c>
    </row>
    <row r="81" spans="2:34" ht="14.5">
      <c r="B81" s="38" t="s">
        <v>108</v>
      </c>
      <c r="C81" s="38"/>
    </row>
    <row r="83" spans="2:34" ht="14.5">
      <c r="B83" s="5" t="s">
        <v>109</v>
      </c>
      <c r="C83" s="5" t="s">
        <v>110</v>
      </c>
      <c r="D83" t="s">
        <v>111</v>
      </c>
      <c r="E83" t="s">
        <v>112</v>
      </c>
      <c r="F83" t="s">
        <v>113</v>
      </c>
      <c r="G83" t="s">
        <v>114</v>
      </c>
      <c r="H83" t="s">
        <v>115</v>
      </c>
      <c r="I83" t="s">
        <v>116</v>
      </c>
      <c r="J83" s="38" t="s">
        <v>117</v>
      </c>
      <c r="L83" t="s">
        <v>118</v>
      </c>
      <c r="M83" t="s">
        <v>119</v>
      </c>
    </row>
    <row r="84" spans="2:34">
      <c r="B84" t="s">
        <v>120</v>
      </c>
      <c r="C84" t="s">
        <v>121</v>
      </c>
      <c r="D84" s="131">
        <v>207</v>
      </c>
      <c r="E84" s="131">
        <v>716</v>
      </c>
      <c r="F84" s="131">
        <v>386</v>
      </c>
      <c r="G84" s="131">
        <v>327</v>
      </c>
      <c r="H84" s="131">
        <v>419</v>
      </c>
      <c r="I84" s="131">
        <v>583</v>
      </c>
      <c r="J84" s="131">
        <f>SUM(D84:I84)</f>
        <v>2638</v>
      </c>
      <c r="L84" t="s">
        <v>122</v>
      </c>
      <c r="M84" t="s">
        <v>123</v>
      </c>
    </row>
    <row r="85" spans="2:34">
      <c r="B85" t="s">
        <v>124</v>
      </c>
      <c r="C85" t="s">
        <v>125</v>
      </c>
      <c r="D85" s="131">
        <v>539</v>
      </c>
      <c r="E85" s="131">
        <v>1853</v>
      </c>
      <c r="F85" s="131">
        <v>830</v>
      </c>
      <c r="G85" s="131">
        <v>1052</v>
      </c>
      <c r="H85" s="131">
        <v>1127</v>
      </c>
      <c r="I85" s="131">
        <v>1283</v>
      </c>
      <c r="J85" s="131">
        <f t="shared" ref="J85:J89" si="0">SUM(D85:I85)</f>
        <v>6684</v>
      </c>
      <c r="L85" t="s">
        <v>123</v>
      </c>
      <c r="M85" t="s">
        <v>122</v>
      </c>
    </row>
    <row r="86" spans="2:34">
      <c r="B86" t="s">
        <v>126</v>
      </c>
      <c r="C86" t="s">
        <v>127</v>
      </c>
      <c r="D86" s="131">
        <v>81</v>
      </c>
      <c r="E86" s="131">
        <v>437</v>
      </c>
      <c r="F86" s="131">
        <v>142</v>
      </c>
      <c r="G86" s="131">
        <v>135</v>
      </c>
      <c r="H86" s="131">
        <v>184</v>
      </c>
      <c r="I86" s="131">
        <v>334</v>
      </c>
      <c r="J86" s="131">
        <f t="shared" si="0"/>
        <v>1313</v>
      </c>
      <c r="L86" t="s">
        <v>122</v>
      </c>
      <c r="M86" t="s">
        <v>122</v>
      </c>
    </row>
    <row r="87" spans="2:34">
      <c r="B87" t="s">
        <v>128</v>
      </c>
      <c r="C87" t="s">
        <v>129</v>
      </c>
      <c r="D87" s="131">
        <v>275</v>
      </c>
      <c r="E87" s="131">
        <v>982</v>
      </c>
      <c r="F87" s="131">
        <v>510</v>
      </c>
      <c r="G87" s="131">
        <v>467</v>
      </c>
      <c r="H87" s="131">
        <v>617</v>
      </c>
      <c r="I87" s="131">
        <v>1003</v>
      </c>
      <c r="J87" s="131">
        <f t="shared" si="0"/>
        <v>3854</v>
      </c>
      <c r="L87" t="s">
        <v>123</v>
      </c>
      <c r="M87" t="s">
        <v>122</v>
      </c>
    </row>
    <row r="88" spans="2:34">
      <c r="B88" t="s">
        <v>130</v>
      </c>
      <c r="C88" t="s">
        <v>131</v>
      </c>
      <c r="D88" s="131">
        <v>387</v>
      </c>
      <c r="E88" s="131">
        <v>1350</v>
      </c>
      <c r="F88" s="131">
        <v>613</v>
      </c>
      <c r="G88" s="131">
        <v>662</v>
      </c>
      <c r="H88" s="131">
        <v>849</v>
      </c>
      <c r="I88" s="131">
        <v>1401</v>
      </c>
      <c r="J88" s="131">
        <f t="shared" si="0"/>
        <v>5262</v>
      </c>
      <c r="L88" t="s">
        <v>122</v>
      </c>
      <c r="M88" t="s">
        <v>122</v>
      </c>
    </row>
    <row r="89" spans="2:34">
      <c r="B89" t="s">
        <v>132</v>
      </c>
      <c r="C89" t="s">
        <v>133</v>
      </c>
      <c r="D89" s="131">
        <v>233</v>
      </c>
      <c r="E89" s="131">
        <v>644</v>
      </c>
      <c r="F89" s="131">
        <v>302</v>
      </c>
      <c r="G89" s="131">
        <v>302</v>
      </c>
      <c r="H89" s="131">
        <v>428</v>
      </c>
      <c r="I89" s="131">
        <v>565</v>
      </c>
      <c r="J89" s="131">
        <f t="shared" si="0"/>
        <v>2474</v>
      </c>
      <c r="L89" t="s">
        <v>122</v>
      </c>
      <c r="M89" t="s">
        <v>122</v>
      </c>
    </row>
    <row r="90" spans="2:34" ht="14.5">
      <c r="B90" s="5" t="s">
        <v>117</v>
      </c>
      <c r="C90" s="5"/>
      <c r="D90" s="132">
        <f>SUM(D84:D89)</f>
        <v>1722</v>
      </c>
      <c r="E90" s="132">
        <f t="shared" ref="E90:I90" si="1">SUM(E84:E89)</f>
        <v>5982</v>
      </c>
      <c r="F90" s="132">
        <f t="shared" si="1"/>
        <v>2783</v>
      </c>
      <c r="G90" s="132">
        <f t="shared" si="1"/>
        <v>2945</v>
      </c>
      <c r="H90" s="132">
        <f t="shared" si="1"/>
        <v>3624</v>
      </c>
      <c r="I90" s="132">
        <f t="shared" si="1"/>
        <v>5169</v>
      </c>
      <c r="J90" s="133">
        <f>SUM(D90:I90)</f>
        <v>22225</v>
      </c>
    </row>
    <row r="93" spans="2:34">
      <c r="B93" s="5" t="s">
        <v>134</v>
      </c>
    </row>
    <row r="94" spans="2:34">
      <c r="G94" s="240" t="s">
        <v>135</v>
      </c>
      <c r="H94" s="240"/>
      <c r="I94" s="240"/>
      <c r="J94" s="240"/>
      <c r="K94" s="240"/>
    </row>
    <row r="95" spans="2:34">
      <c r="B95" s="5" t="s">
        <v>136</v>
      </c>
      <c r="C95" s="5" t="s">
        <v>137</v>
      </c>
      <c r="D95" s="5" t="s">
        <v>138</v>
      </c>
      <c r="E95" s="5" t="s">
        <v>89</v>
      </c>
      <c r="F95" s="5">
        <v>2022</v>
      </c>
      <c r="G95" s="5">
        <v>2023</v>
      </c>
      <c r="H95" s="5">
        <v>2024</v>
      </c>
      <c r="I95" s="5">
        <v>2025</v>
      </c>
      <c r="J95" s="5">
        <v>2026</v>
      </c>
      <c r="K95" s="5">
        <v>2027</v>
      </c>
      <c r="L95" s="5">
        <v>2028</v>
      </c>
      <c r="M95" s="5">
        <v>2029</v>
      </c>
      <c r="N95" s="5">
        <v>2030</v>
      </c>
      <c r="O95" s="5"/>
      <c r="P95" s="5"/>
      <c r="Q95" s="5"/>
      <c r="R95" s="5"/>
      <c r="S95" s="5"/>
      <c r="T95" s="5"/>
      <c r="U95" s="5"/>
      <c r="V95" s="5"/>
      <c r="W95" s="5"/>
      <c r="X95" s="5"/>
      <c r="Y95" s="5"/>
      <c r="Z95" s="5"/>
      <c r="AA95" s="5"/>
      <c r="AB95" s="5"/>
      <c r="AC95" s="5"/>
      <c r="AD95" s="5"/>
      <c r="AE95" s="5"/>
      <c r="AF95" s="5"/>
      <c r="AG95" s="5"/>
      <c r="AH95" s="5"/>
    </row>
    <row r="96" spans="2:34">
      <c r="B96" t="s">
        <v>139</v>
      </c>
      <c r="C96" t="s">
        <v>140</v>
      </c>
      <c r="D96" t="s">
        <v>91</v>
      </c>
      <c r="E96" t="s">
        <v>141</v>
      </c>
      <c r="F96" s="1">
        <v>58.4</v>
      </c>
      <c r="G96" s="1">
        <v>57.6</v>
      </c>
      <c r="H96" s="1">
        <v>57.4</v>
      </c>
      <c r="I96" s="1">
        <v>57.7</v>
      </c>
      <c r="J96" s="1">
        <v>58.2</v>
      </c>
      <c r="K96" s="1">
        <v>59.1</v>
      </c>
      <c r="L96" s="1">
        <v>60</v>
      </c>
      <c r="M96" s="1">
        <v>61.2</v>
      </c>
      <c r="N96" s="1">
        <v>62.4</v>
      </c>
    </row>
    <row r="97" spans="2:34">
      <c r="B97" t="s">
        <v>142</v>
      </c>
      <c r="D97" t="s">
        <v>91</v>
      </c>
      <c r="F97" s="46"/>
      <c r="G97" s="134">
        <f t="shared" ref="G97:N97" si="2">IF(G96-F96&lt;0,0, G96-F96)</f>
        <v>0</v>
      </c>
      <c r="H97" s="134">
        <f t="shared" si="2"/>
        <v>0</v>
      </c>
      <c r="I97" s="134">
        <f t="shared" si="2"/>
        <v>0.30000000000000426</v>
      </c>
      <c r="J97" s="134">
        <f t="shared" si="2"/>
        <v>0.5</v>
      </c>
      <c r="K97" s="134">
        <f t="shared" si="2"/>
        <v>0.89999999999999858</v>
      </c>
      <c r="L97" s="134">
        <f t="shared" si="2"/>
        <v>0.89999999999999858</v>
      </c>
      <c r="M97" s="134">
        <f t="shared" si="2"/>
        <v>1.2000000000000028</v>
      </c>
      <c r="N97" s="134">
        <f t="shared" si="2"/>
        <v>1.1999999999999957</v>
      </c>
      <c r="O97" s="99"/>
      <c r="P97" s="99"/>
      <c r="Q97" s="99"/>
      <c r="R97" s="99"/>
      <c r="S97" s="99"/>
      <c r="T97" s="99"/>
      <c r="U97" s="99"/>
      <c r="V97" s="99"/>
      <c r="W97" s="99"/>
      <c r="X97" s="99"/>
      <c r="Y97" s="99"/>
      <c r="Z97" s="99"/>
      <c r="AA97" s="99"/>
      <c r="AB97" s="99"/>
      <c r="AC97" s="99"/>
      <c r="AD97" s="99"/>
      <c r="AE97" s="99"/>
      <c r="AF97" s="99"/>
      <c r="AG97" s="99"/>
      <c r="AH97" s="99"/>
    </row>
    <row r="98" spans="2:34">
      <c r="F98" s="46"/>
      <c r="G98" s="99"/>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row>
    <row r="100" spans="2:34" s="102" customFormat="1">
      <c r="B100" s="20" t="s">
        <v>143</v>
      </c>
    </row>
    <row r="101" spans="2:34">
      <c r="B101" s="5"/>
    </row>
    <row r="102" spans="2:34" ht="14.5">
      <c r="B102" s="38" t="s">
        <v>144</v>
      </c>
    </row>
    <row r="103" spans="2:34">
      <c r="B103" s="5"/>
    </row>
    <row r="104" spans="2:34">
      <c r="B104" s="5" t="s">
        <v>145</v>
      </c>
      <c r="C104" s="5" t="s">
        <v>138</v>
      </c>
      <c r="D104" s="5">
        <v>2023</v>
      </c>
      <c r="E104" s="5">
        <v>2024</v>
      </c>
      <c r="F104" s="5">
        <v>2025</v>
      </c>
      <c r="G104" s="5">
        <v>2026</v>
      </c>
      <c r="H104" s="5">
        <v>2027</v>
      </c>
      <c r="I104" s="5">
        <v>2028</v>
      </c>
      <c r="J104" s="5">
        <v>2029</v>
      </c>
      <c r="K104" s="5">
        <v>2030</v>
      </c>
    </row>
    <row r="105" spans="2:34">
      <c r="B105" t="s">
        <v>120</v>
      </c>
      <c r="C105" t="s">
        <v>146</v>
      </c>
      <c r="D105" s="46">
        <f>D155</f>
        <v>0</v>
      </c>
      <c r="E105" s="46">
        <f>E155</f>
        <v>0</v>
      </c>
      <c r="F105" s="46">
        <f t="shared" ref="F105:J105" si="3">F155</f>
        <v>465.52941176471177</v>
      </c>
      <c r="G105" s="46">
        <f t="shared" si="3"/>
        <v>775.88235294117521</v>
      </c>
      <c r="H105" s="46">
        <f t="shared" si="3"/>
        <v>1396.5882352941132</v>
      </c>
      <c r="I105" s="46">
        <f t="shared" si="3"/>
        <v>1396.5882352941132</v>
      </c>
      <c r="J105" s="46">
        <f t="shared" si="3"/>
        <v>1862.117647058825</v>
      </c>
      <c r="K105" s="46">
        <f>K155</f>
        <v>1862.1176470588139</v>
      </c>
      <c r="M105" s="100"/>
    </row>
    <row r="106" spans="2:34">
      <c r="B106" t="s">
        <v>124</v>
      </c>
      <c r="C106" t="s">
        <v>146</v>
      </c>
      <c r="D106" s="46">
        <f>D144</f>
        <v>1327.5806896551724</v>
      </c>
      <c r="E106" s="46">
        <f t="shared" ref="E106:J106" si="4">E144</f>
        <v>1322.9710344827586</v>
      </c>
      <c r="F106" s="46">
        <f t="shared" si="4"/>
        <v>1329.8855172413794</v>
      </c>
      <c r="G106" s="46">
        <f t="shared" si="4"/>
        <v>1341.4096551724137</v>
      </c>
      <c r="H106" s="46">
        <f t="shared" si="4"/>
        <v>1362.1531034482759</v>
      </c>
      <c r="I106" s="46">
        <f t="shared" si="4"/>
        <v>1382.8965517241379</v>
      </c>
      <c r="J106" s="46">
        <f t="shared" si="4"/>
        <v>1410.5544827586207</v>
      </c>
      <c r="K106" s="46">
        <f>K144</f>
        <v>1438.2124137931032</v>
      </c>
    </row>
    <row r="107" spans="2:34">
      <c r="B107" t="s">
        <v>126</v>
      </c>
      <c r="C107" t="s">
        <v>146</v>
      </c>
      <c r="D107" s="46">
        <f>D130</f>
        <v>262.60000000000002</v>
      </c>
      <c r="E107" s="46">
        <f t="shared" ref="E107:J107" si="5">E130</f>
        <v>262.60000000000002</v>
      </c>
      <c r="F107" s="46">
        <f t="shared" si="5"/>
        <v>262.60000000000002</v>
      </c>
      <c r="G107" s="46">
        <f t="shared" si="5"/>
        <v>262.60000000000002</v>
      </c>
      <c r="H107" s="46">
        <f t="shared" si="5"/>
        <v>262.60000000000002</v>
      </c>
      <c r="I107" s="46">
        <f t="shared" si="5"/>
        <v>262.60000000000002</v>
      </c>
      <c r="J107" s="46">
        <f t="shared" si="5"/>
        <v>262.60000000000002</v>
      </c>
      <c r="K107" s="46">
        <f>K130</f>
        <v>262.60000000000002</v>
      </c>
    </row>
    <row r="108" spans="2:34">
      <c r="B108" t="s">
        <v>128</v>
      </c>
      <c r="C108" t="s">
        <v>146</v>
      </c>
      <c r="D108" s="46">
        <f>D145</f>
        <v>765.48413793103452</v>
      </c>
      <c r="E108" s="46">
        <f t="shared" ref="E108:J108" si="6">E145</f>
        <v>762.82620689655164</v>
      </c>
      <c r="F108" s="46">
        <f t="shared" si="6"/>
        <v>766.8131034482758</v>
      </c>
      <c r="G108" s="46">
        <f t="shared" si="6"/>
        <v>773.45793103448273</v>
      </c>
      <c r="H108" s="46">
        <f t="shared" si="6"/>
        <v>785.4186206896552</v>
      </c>
      <c r="I108" s="46">
        <f t="shared" si="6"/>
        <v>797.37931034482756</v>
      </c>
      <c r="J108" s="46">
        <f t="shared" si="6"/>
        <v>813.32689655172408</v>
      </c>
      <c r="K108" s="46">
        <f>K145</f>
        <v>829.27448275862071</v>
      </c>
    </row>
    <row r="109" spans="2:34">
      <c r="B109" t="s">
        <v>130</v>
      </c>
      <c r="C109" t="s">
        <v>146</v>
      </c>
      <c r="D109" s="46">
        <f>D131</f>
        <v>1052.4000000000001</v>
      </c>
      <c r="E109" s="46">
        <f t="shared" ref="E109:K110" si="7">E131</f>
        <v>1052.4000000000001</v>
      </c>
      <c r="F109" s="46">
        <f t="shared" si="7"/>
        <v>1052.4000000000001</v>
      </c>
      <c r="G109" s="46">
        <f t="shared" si="7"/>
        <v>1052.4000000000001</v>
      </c>
      <c r="H109" s="46">
        <f t="shared" si="7"/>
        <v>1052.4000000000001</v>
      </c>
      <c r="I109" s="46">
        <f t="shared" si="7"/>
        <v>1052.4000000000001</v>
      </c>
      <c r="J109" s="46">
        <f t="shared" si="7"/>
        <v>1052.4000000000001</v>
      </c>
      <c r="K109" s="46">
        <f t="shared" si="7"/>
        <v>1052.4000000000001</v>
      </c>
    </row>
    <row r="110" spans="2:34">
      <c r="B110" t="s">
        <v>132</v>
      </c>
      <c r="C110" t="s">
        <v>146</v>
      </c>
      <c r="D110" s="46">
        <f>D132</f>
        <v>494.8</v>
      </c>
      <c r="E110" s="46">
        <f t="shared" si="7"/>
        <v>494.8</v>
      </c>
      <c r="F110" s="46">
        <f t="shared" si="7"/>
        <v>494.8</v>
      </c>
      <c r="G110" s="46">
        <f t="shared" si="7"/>
        <v>494.8</v>
      </c>
      <c r="H110" s="46">
        <f t="shared" si="7"/>
        <v>494.8</v>
      </c>
      <c r="I110" s="46">
        <f t="shared" si="7"/>
        <v>494.8</v>
      </c>
      <c r="J110" s="46">
        <f t="shared" si="7"/>
        <v>494.8</v>
      </c>
      <c r="K110" s="46">
        <f t="shared" si="7"/>
        <v>494.8</v>
      </c>
    </row>
    <row r="111" spans="2:34">
      <c r="B111" s="5" t="s">
        <v>117</v>
      </c>
      <c r="C111" s="5" t="s">
        <v>146</v>
      </c>
      <c r="D111" s="135">
        <f>SUM(D105:D110)</f>
        <v>3902.8648275862074</v>
      </c>
      <c r="E111" s="135">
        <f t="shared" ref="E111:K111" si="8">SUM(E105:E110)</f>
        <v>3895.5972413793102</v>
      </c>
      <c r="F111" s="135">
        <f t="shared" si="8"/>
        <v>4372.0280324543673</v>
      </c>
      <c r="G111" s="135">
        <f t="shared" si="8"/>
        <v>4700.5499391480726</v>
      </c>
      <c r="H111" s="135">
        <f t="shared" si="8"/>
        <v>5353.9599594320453</v>
      </c>
      <c r="I111" s="135">
        <f t="shared" si="8"/>
        <v>5386.6640973630792</v>
      </c>
      <c r="J111" s="135">
        <f t="shared" si="8"/>
        <v>5895.799026369169</v>
      </c>
      <c r="K111" s="135">
        <f t="shared" si="8"/>
        <v>5939.404543610538</v>
      </c>
    </row>
    <row r="112" spans="2:34">
      <c r="B112" s="5"/>
      <c r="C112" s="5"/>
      <c r="D112" s="60"/>
      <c r="E112" s="60"/>
      <c r="F112" s="60"/>
      <c r="G112" s="60"/>
      <c r="H112" s="60"/>
      <c r="I112" s="60"/>
      <c r="J112" s="60"/>
      <c r="K112" s="60"/>
    </row>
    <row r="113" spans="2:14">
      <c r="C113" s="5"/>
      <c r="D113" s="60"/>
      <c r="E113" s="60"/>
      <c r="F113" s="60"/>
      <c r="G113" s="60"/>
      <c r="H113" s="60"/>
      <c r="I113" s="60"/>
      <c r="J113" s="60"/>
      <c r="K113" s="60"/>
      <c r="M113" t="s">
        <v>147</v>
      </c>
      <c r="N113" t="s">
        <v>148</v>
      </c>
    </row>
    <row r="114" spans="2:14">
      <c r="B114" s="5" t="s">
        <v>149</v>
      </c>
      <c r="C114" s="5"/>
      <c r="D114" s="135">
        <f>D105+D106+D107</f>
        <v>1590.1806896551725</v>
      </c>
      <c r="E114" s="135">
        <f t="shared" ref="E114:J114" si="9">E105+E106+E107</f>
        <v>1585.5710344827585</v>
      </c>
      <c r="F114" s="135">
        <f t="shared" si="9"/>
        <v>2058.0149290060913</v>
      </c>
      <c r="G114" s="135">
        <f t="shared" si="9"/>
        <v>2379.8920081135889</v>
      </c>
      <c r="H114" s="135">
        <f t="shared" si="9"/>
        <v>3021.3413387423893</v>
      </c>
      <c r="I114" s="135">
        <f t="shared" si="9"/>
        <v>3042.0847870182511</v>
      </c>
      <c r="J114" s="135">
        <f t="shared" si="9"/>
        <v>3535.2721298174456</v>
      </c>
      <c r="K114" s="135">
        <f>K105+K106+K107</f>
        <v>3562.930060851917</v>
      </c>
      <c r="M114" s="46">
        <f>SUM(F114:K114)</f>
        <v>17599.535253549686</v>
      </c>
      <c r="N114">
        <f>M114*('XR&amp;Inflation'!$I$24/'XR&amp;Inflation'!$I$21)</f>
        <v>20317.603722109525</v>
      </c>
    </row>
    <row r="115" spans="2:14">
      <c r="B115" s="5" t="s">
        <v>150</v>
      </c>
      <c r="D115" s="46">
        <f>D108</f>
        <v>765.48413793103452</v>
      </c>
      <c r="E115" s="46">
        <f t="shared" ref="E115:K115" si="10">E108</f>
        <v>762.82620689655164</v>
      </c>
      <c r="F115" s="46">
        <f t="shared" si="10"/>
        <v>766.8131034482758</v>
      </c>
      <c r="G115" s="46">
        <f t="shared" si="10"/>
        <v>773.45793103448273</v>
      </c>
      <c r="H115" s="46">
        <f t="shared" si="10"/>
        <v>785.4186206896552</v>
      </c>
      <c r="I115" s="46">
        <f t="shared" si="10"/>
        <v>797.37931034482756</v>
      </c>
      <c r="J115" s="46">
        <f t="shared" si="10"/>
        <v>813.32689655172408</v>
      </c>
      <c r="K115" s="46">
        <f t="shared" si="10"/>
        <v>829.27448275862071</v>
      </c>
      <c r="M115" s="46">
        <f>SUM(F115:K115)</f>
        <v>4765.6703448275857</v>
      </c>
      <c r="N115">
        <f>M115*('XR&amp;Inflation'!$I$24/'XR&amp;Inflation'!$I$21)</f>
        <v>5501.6794558189658</v>
      </c>
    </row>
    <row r="117" spans="2:14" s="102" customFormat="1">
      <c r="B117" s="20" t="s">
        <v>151</v>
      </c>
    </row>
    <row r="119" spans="2:14" ht="14.5">
      <c r="B119" s="38" t="s">
        <v>152</v>
      </c>
    </row>
    <row r="120" spans="2:14" ht="14.5">
      <c r="B120" s="38" t="s">
        <v>153</v>
      </c>
    </row>
    <row r="122" spans="2:14">
      <c r="B122" s="5" t="s">
        <v>154</v>
      </c>
    </row>
    <row r="124" spans="2:14">
      <c r="B124" s="5" t="s">
        <v>145</v>
      </c>
      <c r="C124" s="5" t="s">
        <v>138</v>
      </c>
      <c r="D124" s="5" t="s">
        <v>155</v>
      </c>
      <c r="E124" s="5" t="s">
        <v>156</v>
      </c>
    </row>
    <row r="125" spans="2:14">
      <c r="B125" t="s">
        <v>126</v>
      </c>
      <c r="C125" t="s">
        <v>81</v>
      </c>
      <c r="D125" s="46">
        <f>J86</f>
        <v>1313</v>
      </c>
      <c r="E125" s="136">
        <f>D125/5</f>
        <v>262.60000000000002</v>
      </c>
      <c r="I125" s="40"/>
    </row>
    <row r="126" spans="2:14">
      <c r="B126" t="s">
        <v>130</v>
      </c>
      <c r="C126" t="s">
        <v>81</v>
      </c>
      <c r="D126" s="46">
        <f>J88</f>
        <v>5262</v>
      </c>
      <c r="E126" s="136">
        <f t="shared" ref="E126:E127" si="11">D126/5</f>
        <v>1052.4000000000001</v>
      </c>
    </row>
    <row r="127" spans="2:14">
      <c r="B127" t="s">
        <v>132</v>
      </c>
      <c r="C127" t="s">
        <v>81</v>
      </c>
      <c r="D127" s="46">
        <f>J89</f>
        <v>2474</v>
      </c>
      <c r="E127" s="136">
        <f t="shared" si="11"/>
        <v>494.8</v>
      </c>
    </row>
    <row r="128" spans="2:14">
      <c r="C128" s="46"/>
    </row>
    <row r="129" spans="2:11">
      <c r="B129" s="5" t="s">
        <v>157</v>
      </c>
      <c r="C129" s="46"/>
      <c r="D129" s="5">
        <v>2023</v>
      </c>
      <c r="E129" s="5">
        <v>2024</v>
      </c>
      <c r="F129" s="5">
        <v>2025</v>
      </c>
      <c r="G129" s="5">
        <v>2026</v>
      </c>
      <c r="H129" s="5">
        <v>2027</v>
      </c>
      <c r="I129" s="5">
        <v>2028</v>
      </c>
      <c r="J129" s="5">
        <v>2029</v>
      </c>
      <c r="K129" s="5">
        <v>2030</v>
      </c>
    </row>
    <row r="130" spans="2:11" ht="14.5">
      <c r="B130" t="s">
        <v>126</v>
      </c>
      <c r="C130" s="38" t="s">
        <v>146</v>
      </c>
      <c r="D130">
        <f>$E125</f>
        <v>262.60000000000002</v>
      </c>
      <c r="E130">
        <f t="shared" ref="D130:K132" si="12">$E125</f>
        <v>262.60000000000002</v>
      </c>
      <c r="F130">
        <f t="shared" si="12"/>
        <v>262.60000000000002</v>
      </c>
      <c r="G130">
        <f t="shared" si="12"/>
        <v>262.60000000000002</v>
      </c>
      <c r="H130">
        <f t="shared" si="12"/>
        <v>262.60000000000002</v>
      </c>
      <c r="I130">
        <f t="shared" si="12"/>
        <v>262.60000000000002</v>
      </c>
      <c r="J130">
        <f t="shared" si="12"/>
        <v>262.60000000000002</v>
      </c>
      <c r="K130">
        <f>$E125</f>
        <v>262.60000000000002</v>
      </c>
    </row>
    <row r="131" spans="2:11" ht="14.5">
      <c r="B131" t="s">
        <v>130</v>
      </c>
      <c r="C131" s="38" t="s">
        <v>146</v>
      </c>
      <c r="D131">
        <f t="shared" si="12"/>
        <v>1052.4000000000001</v>
      </c>
      <c r="E131">
        <f t="shared" si="12"/>
        <v>1052.4000000000001</v>
      </c>
      <c r="F131">
        <f t="shared" si="12"/>
        <v>1052.4000000000001</v>
      </c>
      <c r="G131">
        <f t="shared" si="12"/>
        <v>1052.4000000000001</v>
      </c>
      <c r="H131">
        <f t="shared" si="12"/>
        <v>1052.4000000000001</v>
      </c>
      <c r="I131">
        <f t="shared" si="12"/>
        <v>1052.4000000000001</v>
      </c>
      <c r="J131">
        <f t="shared" si="12"/>
        <v>1052.4000000000001</v>
      </c>
      <c r="K131">
        <f t="shared" si="12"/>
        <v>1052.4000000000001</v>
      </c>
    </row>
    <row r="132" spans="2:11" ht="14.5">
      <c r="B132" t="s">
        <v>132</v>
      </c>
      <c r="C132" s="38" t="s">
        <v>146</v>
      </c>
      <c r="D132">
        <f t="shared" si="12"/>
        <v>494.8</v>
      </c>
      <c r="E132">
        <f t="shared" si="12"/>
        <v>494.8</v>
      </c>
      <c r="F132">
        <f t="shared" si="12"/>
        <v>494.8</v>
      </c>
      <c r="G132">
        <f t="shared" si="12"/>
        <v>494.8</v>
      </c>
      <c r="H132">
        <f t="shared" si="12"/>
        <v>494.8</v>
      </c>
      <c r="I132">
        <f t="shared" si="12"/>
        <v>494.8</v>
      </c>
      <c r="J132">
        <f t="shared" si="12"/>
        <v>494.8</v>
      </c>
      <c r="K132">
        <f t="shared" si="12"/>
        <v>494.8</v>
      </c>
    </row>
    <row r="134" spans="2:11">
      <c r="B134" s="5" t="s">
        <v>158</v>
      </c>
    </row>
    <row r="136" spans="2:11">
      <c r="B136" t="s">
        <v>159</v>
      </c>
      <c r="C136" t="s">
        <v>91</v>
      </c>
      <c r="D136" s="136">
        <f>AVERAGE(G96:K96)</f>
        <v>58</v>
      </c>
    </row>
    <row r="138" spans="2:11" ht="14.5">
      <c r="B138" s="38" t="s">
        <v>160</v>
      </c>
      <c r="D138" t="s">
        <v>117</v>
      </c>
      <c r="E138" t="s">
        <v>161</v>
      </c>
    </row>
    <row r="139" spans="2:11">
      <c r="B139" t="s">
        <v>124</v>
      </c>
      <c r="C139" t="s">
        <v>81</v>
      </c>
      <c r="D139" s="46">
        <f>J85</f>
        <v>6684</v>
      </c>
      <c r="E139" s="135">
        <f>D139/5</f>
        <v>1336.8</v>
      </c>
    </row>
    <row r="140" spans="2:11">
      <c r="B140" t="s">
        <v>128</v>
      </c>
      <c r="C140" t="s">
        <v>81</v>
      </c>
      <c r="D140" s="46">
        <f>J87</f>
        <v>3854</v>
      </c>
      <c r="E140" s="135">
        <f>D140/5</f>
        <v>770.8</v>
      </c>
    </row>
    <row r="141" spans="2:11">
      <c r="D141" s="46"/>
    </row>
    <row r="142" spans="2:11">
      <c r="D142" s="5">
        <v>2023</v>
      </c>
      <c r="E142" s="5">
        <v>2024</v>
      </c>
      <c r="F142" s="5">
        <v>2025</v>
      </c>
      <c r="G142" s="5">
        <v>2026</v>
      </c>
      <c r="H142" s="5">
        <v>2027</v>
      </c>
      <c r="I142" s="5">
        <v>2028</v>
      </c>
      <c r="J142" s="5">
        <v>2029</v>
      </c>
      <c r="K142" s="5">
        <v>2030</v>
      </c>
    </row>
    <row r="143" spans="2:11">
      <c r="B143" t="s">
        <v>139</v>
      </c>
      <c r="C143" t="s">
        <v>91</v>
      </c>
      <c r="D143" s="99">
        <f t="shared" ref="D143:K143" si="13">G96</f>
        <v>57.6</v>
      </c>
      <c r="E143" s="99">
        <f t="shared" si="13"/>
        <v>57.4</v>
      </c>
      <c r="F143" s="99">
        <f t="shared" si="13"/>
        <v>57.7</v>
      </c>
      <c r="G143" s="99">
        <f t="shared" si="13"/>
        <v>58.2</v>
      </c>
      <c r="H143" s="99">
        <f t="shared" si="13"/>
        <v>59.1</v>
      </c>
      <c r="I143" s="99">
        <f t="shared" si="13"/>
        <v>60</v>
      </c>
      <c r="J143" s="99">
        <f t="shared" si="13"/>
        <v>61.2</v>
      </c>
      <c r="K143" s="99">
        <f t="shared" si="13"/>
        <v>62.4</v>
      </c>
    </row>
    <row r="144" spans="2:11">
      <c r="B144" t="s">
        <v>124</v>
      </c>
      <c r="C144" t="s">
        <v>146</v>
      </c>
      <c r="D144" s="135">
        <f>$E139*D$143/$D$136</f>
        <v>1327.5806896551724</v>
      </c>
      <c r="E144" s="135">
        <f t="shared" ref="E144:J144" si="14">$E139*E$143/$D$136</f>
        <v>1322.9710344827586</v>
      </c>
      <c r="F144" s="135">
        <f t="shared" si="14"/>
        <v>1329.8855172413794</v>
      </c>
      <c r="G144" s="135">
        <f t="shared" si="14"/>
        <v>1341.4096551724137</v>
      </c>
      <c r="H144" s="135">
        <f t="shared" si="14"/>
        <v>1362.1531034482759</v>
      </c>
      <c r="I144" s="135">
        <f t="shared" si="14"/>
        <v>1382.8965517241379</v>
      </c>
      <c r="J144" s="135">
        <f t="shared" si="14"/>
        <v>1410.5544827586207</v>
      </c>
      <c r="K144" s="135">
        <f>$E139*K$143/$D$136</f>
        <v>1438.2124137931032</v>
      </c>
    </row>
    <row r="145" spans="2:11">
      <c r="B145" t="s">
        <v>128</v>
      </c>
      <c r="C145" t="s">
        <v>146</v>
      </c>
      <c r="D145" s="135">
        <f>$E140*D$143/$D$136</f>
        <v>765.48413793103452</v>
      </c>
      <c r="E145" s="135">
        <f t="shared" ref="E145:J145" si="15">$E140*E$143/$D$136</f>
        <v>762.82620689655164</v>
      </c>
      <c r="F145" s="135">
        <f t="shared" si="15"/>
        <v>766.8131034482758</v>
      </c>
      <c r="G145" s="135">
        <f t="shared" si="15"/>
        <v>773.45793103448273</v>
      </c>
      <c r="H145" s="135">
        <f t="shared" si="15"/>
        <v>785.4186206896552</v>
      </c>
      <c r="I145" s="135">
        <f t="shared" si="15"/>
        <v>797.37931034482756</v>
      </c>
      <c r="J145" s="135">
        <f t="shared" si="15"/>
        <v>813.32689655172408</v>
      </c>
      <c r="K145" s="135">
        <f>$E140*K$143/$D$136</f>
        <v>829.27448275862071</v>
      </c>
    </row>
    <row r="146" spans="2:11">
      <c r="D146" s="46"/>
    </row>
    <row r="147" spans="2:11">
      <c r="B147" s="5" t="s">
        <v>162</v>
      </c>
    </row>
    <row r="149" spans="2:11">
      <c r="B149" t="s">
        <v>163</v>
      </c>
      <c r="C149" t="s">
        <v>91</v>
      </c>
      <c r="D149" s="134">
        <f>SUM(G97:K97)</f>
        <v>1.7000000000000028</v>
      </c>
    </row>
    <row r="150" spans="2:11">
      <c r="B150" t="s">
        <v>120</v>
      </c>
      <c r="C150" t="s">
        <v>81</v>
      </c>
      <c r="D150" s="46">
        <f>J84</f>
        <v>2638</v>
      </c>
    </row>
    <row r="151" spans="2:11">
      <c r="B151" t="s">
        <v>164</v>
      </c>
      <c r="C151" t="s">
        <v>165</v>
      </c>
      <c r="D151" s="138">
        <f>D150/D149</f>
        <v>1551.7647058823504</v>
      </c>
      <c r="E151" s="17"/>
    </row>
    <row r="153" spans="2:11">
      <c r="D153" s="5">
        <v>2023</v>
      </c>
      <c r="E153" s="5">
        <v>2024</v>
      </c>
      <c r="F153" s="5">
        <v>2025</v>
      </c>
      <c r="G153" s="5">
        <v>2026</v>
      </c>
      <c r="H153" s="5">
        <v>2027</v>
      </c>
      <c r="I153" s="5">
        <v>2028</v>
      </c>
      <c r="J153" s="5">
        <v>2029</v>
      </c>
      <c r="K153" s="5">
        <v>2030</v>
      </c>
    </row>
    <row r="154" spans="2:11">
      <c r="B154" t="s">
        <v>142</v>
      </c>
      <c r="C154" t="s">
        <v>91</v>
      </c>
      <c r="D154" s="99">
        <f t="shared" ref="D154:K154" si="16">G97</f>
        <v>0</v>
      </c>
      <c r="E154" s="99">
        <f t="shared" si="16"/>
        <v>0</v>
      </c>
      <c r="F154" s="99">
        <f t="shared" si="16"/>
        <v>0.30000000000000426</v>
      </c>
      <c r="G154" s="99">
        <f t="shared" si="16"/>
        <v>0.5</v>
      </c>
      <c r="H154" s="99">
        <f t="shared" si="16"/>
        <v>0.89999999999999858</v>
      </c>
      <c r="I154" s="99">
        <f t="shared" si="16"/>
        <v>0.89999999999999858</v>
      </c>
      <c r="J154" s="99">
        <f t="shared" si="16"/>
        <v>1.2000000000000028</v>
      </c>
      <c r="K154" s="99">
        <f t="shared" si="16"/>
        <v>1.1999999999999957</v>
      </c>
    </row>
    <row r="155" spans="2:11">
      <c r="B155" t="s">
        <v>120</v>
      </c>
      <c r="C155" t="s">
        <v>146</v>
      </c>
      <c r="D155" s="139">
        <f>D154*$D$151</f>
        <v>0</v>
      </c>
      <c r="E155" s="139">
        <f t="shared" ref="E155:J155" si="17">E154*$D$151</f>
        <v>0</v>
      </c>
      <c r="F155" s="139">
        <f t="shared" si="17"/>
        <v>465.52941176471177</v>
      </c>
      <c r="G155" s="139">
        <f t="shared" si="17"/>
        <v>775.88235294117521</v>
      </c>
      <c r="H155" s="139">
        <f t="shared" si="17"/>
        <v>1396.5882352941132</v>
      </c>
      <c r="I155" s="139">
        <f t="shared" si="17"/>
        <v>1396.5882352941132</v>
      </c>
      <c r="J155" s="139">
        <f t="shared" si="17"/>
        <v>1862.117647058825</v>
      </c>
      <c r="K155" s="139">
        <f>K154*$D$151</f>
        <v>1862.1176470588139</v>
      </c>
    </row>
  </sheetData>
  <mergeCells count="1">
    <mergeCell ref="G94:K94"/>
  </mergeCells>
  <hyperlinks>
    <hyperlink ref="E74" r:id="rId1" display="https://www.ofgem.gov.uk/sites/default/files/2022-11/RIIO-ED2 Final Determinations Finance Annex.pdf" xr:uid="{D0D55E89-85BE-442C-AEFA-8A692D1E4375}"/>
    <hyperlink ref="E75" r:id="rId2" location=":~:text=for%20GD%26T%20networks.-,Allowed%20return%20on%20capital,FD%2C%20and%20Ofgem%27s%20ED2%20DDs." display="https://www.oxera.com/insights/agenda/articles/riio-ed2-draft-determinations/ - :~:text=for%20GD%26T%20networks.-,Allowed%20return%20on%20capital,FD%2C%20and%20Ofgem%27s%20ED2%20DDs." xr:uid="{AB6DD73C-7C8F-4D8E-A1A5-3DC0E527B0C1}"/>
    <hyperlink ref="C11" r:id="rId3" display="https://www.ofgem.gov.uk/sites/default/files/2024-07/RIIO-3_SSMD_Finance_Annex.pdf" xr:uid="{300E3401-8529-43BD-8B2E-0A17240A5602}"/>
    <hyperlink ref="G14" r:id="rId4" display="https://www.ofgem.gov.uk/sites/default/files/2024-07/RIIO-3_SSMD_Finance_Annex.pdf" xr:uid="{FA516000-73C3-4470-80F5-17575C2CE99B}"/>
    <hyperlink ref="G15" r:id="rId5" display="https://www.ofgem.gov.uk/sites/default/files/2024-07/RIIO-3_SSMD_Finance_Annex.pdf" xr:uid="{25731595-4007-49E6-98AA-55D21E678240}"/>
    <hyperlink ref="C21" r:id="rId6" display="https://www.ofgem.gov.uk/sites/default/files/2024-07/RIIO-3_SSMD_Finance_Annex.pdf" xr:uid="{3D17843A-25D9-4D3B-B496-7A2096465E36}"/>
    <hyperlink ref="D39" r:id="rId7" xr:uid="{B0F34EA7-2E8D-4EAD-890E-DDCFAB9AF0AD}"/>
    <hyperlink ref="E79" r:id="rId8" display="https://www.ofgem.gov.uk/decision/riio-ed2-final-determinations" xr:uid="{6B5A5E5C-626D-42E4-B7A0-36AE8EBBA75A}"/>
  </hyperlinks>
  <pageMargins left="0.7" right="0.7" top="0.75" bottom="0.75" header="0.3" footer="0.3"/>
  <pageSetup orientation="portrait" verticalDpi="0" r:id="rId9"/>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E982C-0AD2-4D44-82A0-8ACC60A5116B}">
  <sheetPr codeName="Sheet32"/>
  <dimension ref="C3:AO103"/>
  <sheetViews>
    <sheetView topLeftCell="C70" workbookViewId="0"/>
  </sheetViews>
  <sheetFormatPr defaultRowHeight="14"/>
  <cols>
    <col min="1" max="1" width="1.75" customWidth="1"/>
    <col min="3" max="3" width="28.25" bestFit="1" customWidth="1"/>
    <col min="4" max="4" width="16.25" customWidth="1"/>
    <col min="5" max="7" width="10.25" customWidth="1"/>
    <col min="8" max="14" width="16.25" customWidth="1"/>
    <col min="15" max="22" width="10.25" customWidth="1"/>
    <col min="23" max="26" width="10.75" customWidth="1"/>
    <col min="27" max="27" width="14.25" customWidth="1"/>
    <col min="28" max="30" width="11.75" customWidth="1"/>
    <col min="31" max="31" width="11" customWidth="1"/>
    <col min="32" max="35" width="12" customWidth="1"/>
    <col min="36" max="39" width="11.75" customWidth="1"/>
    <col min="40" max="43" width="10.75" customWidth="1"/>
  </cols>
  <sheetData>
    <row r="3" spans="3:36">
      <c r="C3" t="s">
        <v>391</v>
      </c>
      <c r="D3" t="s">
        <v>392</v>
      </c>
    </row>
    <row r="5" spans="3:36" ht="10.4" customHeight="1"/>
    <row r="6" spans="3:36">
      <c r="C6" t="s">
        <v>393</v>
      </c>
      <c r="E6" s="103">
        <v>45292</v>
      </c>
    </row>
    <row r="7" spans="3:36" ht="14.9" customHeight="1"/>
    <row r="9" spans="3:36">
      <c r="C9" s="24" t="s">
        <v>13</v>
      </c>
      <c r="D9" s="24"/>
      <c r="E9" s="54" t="s">
        <v>394</v>
      </c>
      <c r="F9" s="51"/>
      <c r="G9" s="51"/>
      <c r="H9" s="54" t="s">
        <v>395</v>
      </c>
      <c r="I9" s="51"/>
      <c r="J9" s="51"/>
      <c r="K9" s="51"/>
      <c r="L9" s="51"/>
      <c r="M9" s="51"/>
      <c r="N9" s="51"/>
      <c r="O9" s="54" t="s">
        <v>396</v>
      </c>
      <c r="P9" s="51"/>
      <c r="Q9" s="51"/>
      <c r="R9" s="54" t="s">
        <v>397</v>
      </c>
      <c r="S9" s="51"/>
      <c r="T9" s="51"/>
      <c r="U9" s="51"/>
      <c r="V9" s="51"/>
      <c r="W9" s="51"/>
      <c r="X9" s="51"/>
      <c r="Y9" s="51"/>
      <c r="Z9" s="51"/>
      <c r="AA9" s="51"/>
      <c r="AB9" s="51"/>
      <c r="AC9" s="51"/>
      <c r="AD9" s="51"/>
      <c r="AE9" s="51"/>
      <c r="AF9" s="51"/>
      <c r="AG9" s="51"/>
      <c r="AH9" s="51"/>
      <c r="AI9" s="51"/>
      <c r="AJ9" s="51"/>
    </row>
    <row r="10" spans="3:36">
      <c r="C10" s="24" t="s">
        <v>59</v>
      </c>
      <c r="D10" s="24"/>
      <c r="E10" s="55" t="s">
        <v>384</v>
      </c>
      <c r="F10" s="50"/>
      <c r="G10" s="50"/>
      <c r="H10" s="55" t="s">
        <v>239</v>
      </c>
      <c r="I10" s="50" t="s">
        <v>239</v>
      </c>
      <c r="J10" s="50" t="s">
        <v>239</v>
      </c>
      <c r="K10" s="50" t="s">
        <v>240</v>
      </c>
      <c r="L10" s="50" t="s">
        <v>242</v>
      </c>
      <c r="M10" s="50" t="s">
        <v>234</v>
      </c>
      <c r="N10" s="50" t="s">
        <v>56</v>
      </c>
      <c r="O10" s="55" t="s">
        <v>22</v>
      </c>
      <c r="P10" s="50"/>
      <c r="Q10" s="50"/>
      <c r="R10" s="55" t="s">
        <v>398</v>
      </c>
      <c r="S10" s="50"/>
      <c r="T10" s="50"/>
      <c r="U10" s="86" t="s">
        <v>400</v>
      </c>
      <c r="V10" s="50"/>
      <c r="W10" s="75"/>
      <c r="X10" s="86" t="s">
        <v>401</v>
      </c>
      <c r="Y10" s="50"/>
      <c r="Z10" s="75"/>
      <c r="AA10" s="86" t="s">
        <v>402</v>
      </c>
      <c r="AB10" s="86" t="s">
        <v>403</v>
      </c>
      <c r="AC10" s="50"/>
      <c r="AD10" s="75"/>
      <c r="AE10" s="86" t="s">
        <v>404</v>
      </c>
      <c r="AF10" s="50"/>
      <c r="AG10" s="75"/>
      <c r="AH10" s="86" t="s">
        <v>405</v>
      </c>
      <c r="AI10" s="50"/>
      <c r="AJ10" s="50"/>
    </row>
    <row r="11" spans="3:36">
      <c r="C11" s="24" t="s">
        <v>89</v>
      </c>
      <c r="D11" s="24"/>
      <c r="E11" s="56" t="s">
        <v>19</v>
      </c>
      <c r="F11" s="52" t="s">
        <v>48</v>
      </c>
      <c r="G11" s="52" t="s">
        <v>49</v>
      </c>
      <c r="H11" s="56" t="s">
        <v>268</v>
      </c>
      <c r="I11" s="52" t="s">
        <v>60</v>
      </c>
      <c r="J11" s="52" t="s">
        <v>61</v>
      </c>
      <c r="K11" s="52" t="s">
        <v>406</v>
      </c>
      <c r="L11" s="52" t="s">
        <v>406</v>
      </c>
      <c r="M11" s="52" t="s">
        <v>406</v>
      </c>
      <c r="N11" s="52" t="s">
        <v>406</v>
      </c>
      <c r="O11" s="56" t="s">
        <v>19</v>
      </c>
      <c r="P11" s="52" t="s">
        <v>48</v>
      </c>
      <c r="Q11" s="52" t="s">
        <v>49</v>
      </c>
      <c r="R11" s="56" t="s">
        <v>19</v>
      </c>
      <c r="S11" s="52" t="s">
        <v>48</v>
      </c>
      <c r="T11" s="52" t="s">
        <v>49</v>
      </c>
      <c r="U11" s="81" t="s">
        <v>19</v>
      </c>
      <c r="V11" s="52" t="s">
        <v>48</v>
      </c>
      <c r="W11" s="76" t="s">
        <v>49</v>
      </c>
      <c r="X11" s="81" t="s">
        <v>19</v>
      </c>
      <c r="Y11" s="52" t="s">
        <v>48</v>
      </c>
      <c r="Z11" s="76" t="s">
        <v>49</v>
      </c>
      <c r="AA11" s="81" t="s">
        <v>490</v>
      </c>
      <c r="AB11" s="81" t="s">
        <v>19</v>
      </c>
      <c r="AC11" s="52" t="s">
        <v>48</v>
      </c>
      <c r="AD11" s="76" t="s">
        <v>49</v>
      </c>
      <c r="AE11" s="81" t="s">
        <v>19</v>
      </c>
      <c r="AF11" s="52" t="s">
        <v>48</v>
      </c>
      <c r="AG11" s="76" t="s">
        <v>49</v>
      </c>
      <c r="AH11" s="81" t="s">
        <v>19</v>
      </c>
      <c r="AI11" s="52" t="s">
        <v>48</v>
      </c>
      <c r="AJ11" s="52" t="s">
        <v>479</v>
      </c>
    </row>
    <row r="12" spans="3:36">
      <c r="C12" s="24" t="s">
        <v>138</v>
      </c>
      <c r="D12" s="24"/>
      <c r="E12" s="57" t="s">
        <v>175</v>
      </c>
      <c r="F12" s="53" t="s">
        <v>175</v>
      </c>
      <c r="G12" s="53" t="s">
        <v>175</v>
      </c>
      <c r="H12" s="57" t="s">
        <v>407</v>
      </c>
      <c r="I12" s="53" t="s">
        <v>407</v>
      </c>
      <c r="J12" s="53" t="s">
        <v>407</v>
      </c>
      <c r="K12" s="53" t="s">
        <v>408</v>
      </c>
      <c r="L12" s="53" t="s">
        <v>351</v>
      </c>
      <c r="M12" s="53" t="s">
        <v>409</v>
      </c>
      <c r="N12" s="53" t="s">
        <v>57</v>
      </c>
      <c r="O12" s="57" t="s">
        <v>7</v>
      </c>
      <c r="P12" s="53" t="s">
        <v>7</v>
      </c>
      <c r="Q12" s="53" t="s">
        <v>7</v>
      </c>
      <c r="R12" s="57" t="s">
        <v>81</v>
      </c>
      <c r="S12" s="53" t="s">
        <v>81</v>
      </c>
      <c r="T12" s="53" t="s">
        <v>81</v>
      </c>
      <c r="U12" s="82" t="s">
        <v>81</v>
      </c>
      <c r="V12" s="53" t="s">
        <v>81</v>
      </c>
      <c r="W12" s="77" t="s">
        <v>81</v>
      </c>
      <c r="X12" s="82" t="s">
        <v>81</v>
      </c>
      <c r="Y12" s="53" t="s">
        <v>81</v>
      </c>
      <c r="Z12" s="77" t="s">
        <v>81</v>
      </c>
      <c r="AA12" s="82" t="s">
        <v>81</v>
      </c>
      <c r="AB12" s="82" t="s">
        <v>81</v>
      </c>
      <c r="AC12" s="53" t="s">
        <v>81</v>
      </c>
      <c r="AD12" s="77" t="s">
        <v>81</v>
      </c>
      <c r="AE12" s="82" t="s">
        <v>81</v>
      </c>
      <c r="AF12" s="53" t="s">
        <v>81</v>
      </c>
      <c r="AG12" s="77" t="s">
        <v>81</v>
      </c>
      <c r="AH12" s="82" t="s">
        <v>81</v>
      </c>
      <c r="AI12" s="53" t="s">
        <v>81</v>
      </c>
      <c r="AJ12" s="53" t="s">
        <v>81</v>
      </c>
    </row>
    <row r="13" spans="3:36">
      <c r="C13" s="72" t="s">
        <v>214</v>
      </c>
      <c r="D13" s="72" t="s">
        <v>13</v>
      </c>
      <c r="E13" s="73"/>
      <c r="F13" s="74"/>
      <c r="G13" s="74"/>
      <c r="H13" s="71"/>
      <c r="I13" s="32"/>
      <c r="J13" s="32"/>
      <c r="K13" s="32"/>
      <c r="L13" s="32"/>
      <c r="M13" s="32"/>
      <c r="N13" s="32"/>
      <c r="O13" s="71"/>
      <c r="P13" s="32"/>
      <c r="Q13" s="32"/>
      <c r="R13" s="71"/>
      <c r="S13" s="32"/>
      <c r="T13" s="32"/>
      <c r="U13" s="83"/>
      <c r="V13" s="74"/>
      <c r="W13" s="78"/>
      <c r="X13" s="83"/>
      <c r="Y13" s="74"/>
      <c r="Z13" s="78"/>
      <c r="AA13" s="74"/>
      <c r="AB13" s="74"/>
      <c r="AC13" s="74"/>
      <c r="AD13" s="74"/>
      <c r="AE13" s="83"/>
      <c r="AF13" s="74"/>
      <c r="AG13" s="78"/>
      <c r="AH13" s="83"/>
      <c r="AI13" s="74"/>
      <c r="AJ13" s="74"/>
    </row>
    <row r="14" spans="3:36">
      <c r="C14" t="s">
        <v>21</v>
      </c>
      <c r="D14" t="s">
        <v>410</v>
      </c>
      <c r="E14" s="59">
        <f>INDEX(DeployedCapacities!$D$73:$F$97, MATCH($C14, DeployedCapacities!$C$73:$C$97, 0), MATCH(E$11, DeployedCapacities!$D$71:$F$71, 0))</f>
        <v>0</v>
      </c>
      <c r="F14" s="46">
        <f>INDEX(DeployedCapacities!$D$73:$F$97, MATCH($C14, DeployedCapacities!$C$73:$C$97, 0), MATCH(F$11, DeployedCapacities!$D$71:$F$71, 0))</f>
        <v>0</v>
      </c>
      <c r="G14" s="46">
        <f>INDEX(DeployedCapacities!$D$73:$F$97, MATCH($C14, DeployedCapacities!$C$73:$C$97, 0), MATCH(G$11, DeployedCapacities!$D$71:$F$71, 0))</f>
        <v>0</v>
      </c>
      <c r="H14" s="59">
        <f>SUMIFS(TechAssumptions!$J$16:$J$90, TechAssumptions!$C$16:$C$90, $C14, TechAssumptions!$D$16:$D$90, H$10)*1000</f>
        <v>4114470.754249909</v>
      </c>
      <c r="I14" s="46">
        <f>SUMIFS(TechAssumptions!$K$16:$K$90, TechAssumptions!$C$16:$C$90, $C14, TechAssumptions!$D$16:$D$90, I$10)*1000</f>
        <v>4114470.754249909</v>
      </c>
      <c r="J14" s="46">
        <f>SUMIFS(TechAssumptions!$L$16:$L$90, TechAssumptions!$C$16:$C$90, $C14, TechAssumptions!$D$16:$D$90, J$10)*1000</f>
        <v>4114470.754249909</v>
      </c>
      <c r="K14" s="46">
        <f>(SUMIFS(TechAssumptions!$J$16:$J$90, TechAssumptions!$C$16:$C$90, $C14, TechAssumptions!$D$16:$D$90, K$10))*1000</f>
        <v>108144.77064220185</v>
      </c>
      <c r="L14" s="13">
        <f>SUMIFS(TechAssumptions!$J$16:$J$90, TechAssumptions!$C$16:$C$90, $C14, TechAssumptions!$D$16:$D$90, L$10)</f>
        <v>8.5926605504587155</v>
      </c>
      <c r="M14" s="13">
        <f>INDEX(TechAssumptions!$G$16:$G$90, MATCH(C14, TechAssumptions!$C$16:$C$90, 0))</f>
        <v>25</v>
      </c>
      <c r="N14" s="14">
        <f>INDEX(TechAssumptions!$H$16:$H$90, MATCH(C14, TechAssumptions!$C$16:$C$90, 0))</f>
        <v>7.9000000000000001E-2</v>
      </c>
      <c r="O14" s="58">
        <f>SUMIFS(DispatchVols_HG!$I:$I, DispatchVols_HG!$E:$E, $C14, DispatchVols_HG!$C:$C, O$11)</f>
        <v>11842.22</v>
      </c>
      <c r="P14" s="13">
        <f>SUMIFS(DispatchVols_HG!$I:$I, DispatchVols_HG!$E:$E, $C14, DispatchVols_HG!$C:$C, P$11)</f>
        <v>8844.56</v>
      </c>
      <c r="Q14" s="13">
        <f>SUMIFS(DispatchVols_HG!$I:$I, DispatchVols_HG!$E:$E, $C14, DispatchVols_HG!$C:$C, Q$11)</f>
        <v>6321.39</v>
      </c>
      <c r="R14" s="58">
        <f t="shared" ref="R14:R38" si="0">(E14*$H14)/10^6</f>
        <v>0</v>
      </c>
      <c r="S14" s="13">
        <f t="shared" ref="S14:S38" si="1">(F14*$H14)/10^6</f>
        <v>0</v>
      </c>
      <c r="T14" s="13">
        <f t="shared" ref="T14:T38" si="2">(G14*$H14)/10^6</f>
        <v>0</v>
      </c>
      <c r="U14" s="84">
        <f t="shared" ref="U14:U38" si="3">(-PMT($N14,$M14,E14*$H14))/10^6</f>
        <v>0</v>
      </c>
      <c r="V14" s="46">
        <f t="shared" ref="V14:V38" si="4">(-PMT($N14,$M14,F14*$H14))/10^6</f>
        <v>0</v>
      </c>
      <c r="W14" s="79">
        <f t="shared" ref="W14:W38" si="5">(-PMT($N14,$M14,G14*$H14))/10^6</f>
        <v>0</v>
      </c>
      <c r="X14" s="84">
        <f>(($K14*E14)/10^6)</f>
        <v>0</v>
      </c>
      <c r="Y14" s="46">
        <f t="shared" ref="Y14:Y38" si="6">($K14*F14)/10^6</f>
        <v>0</v>
      </c>
      <c r="Z14" s="79">
        <f t="shared" ref="Z14:Z38" si="7">($K14*G14)/10^6</f>
        <v>0</v>
      </c>
      <c r="AA14" s="46">
        <f>($K14*INDEX(DeployedCapacities!$D$7:$D$31, MATCH($C14, DeployedCapacities!$C$7:$C$31, 0)))/10^6</f>
        <v>448.64182535229372</v>
      </c>
      <c r="AB14" s="46">
        <f t="shared" ref="AB14:AB38" si="8">X14+$AA14</f>
        <v>448.64182535229372</v>
      </c>
      <c r="AC14" s="46">
        <f t="shared" ref="AC14:AC38" si="9">Y14+$AA14</f>
        <v>448.64182535229372</v>
      </c>
      <c r="AD14" s="46">
        <f t="shared" ref="AD14:AD38" si="10">Z14+$AA14</f>
        <v>448.64182535229372</v>
      </c>
      <c r="AE14" s="84">
        <f t="shared" ref="AE14:AE38" si="11">(($L14*1000)*O14)/10^6</f>
        <v>101.75617662385321</v>
      </c>
      <c r="AF14" s="46">
        <f t="shared" ref="AF14:AF38" si="12">(($L14*1000)*P14)/10^6</f>
        <v>75.99830179816513</v>
      </c>
      <c r="AG14" s="79">
        <f t="shared" ref="AG14:AG38" si="13">(($L14*1000)*Q14)/10^6</f>
        <v>54.317558477064225</v>
      </c>
      <c r="AH14" s="84">
        <f t="shared" ref="AH14:AH38" si="14">U14+X14+$AA14+AE14</f>
        <v>550.39800197614693</v>
      </c>
      <c r="AI14" s="46">
        <f t="shared" ref="AI14:AI38" si="15">V14+Y14+$AA14+AF14</f>
        <v>524.64012715045885</v>
      </c>
      <c r="AJ14" s="46">
        <f t="shared" ref="AJ14:AJ38" si="16">W14+Z14+$AA14+AG14</f>
        <v>502.95938382935793</v>
      </c>
    </row>
    <row r="15" spans="3:36">
      <c r="C15" t="s">
        <v>24</v>
      </c>
      <c r="D15" t="s">
        <v>411</v>
      </c>
      <c r="E15" s="59">
        <f>INDEX(DeployedCapacities!$D$73:$F$97, MATCH($C15, DeployedCapacities!$C$73:$C$97, 0), MATCH(E$11, DeployedCapacities!$D$71:$F$71, 0))</f>
        <v>1670</v>
      </c>
      <c r="F15" s="46">
        <f>INDEX(DeployedCapacities!$D$73:$F$97, MATCH($C15, DeployedCapacities!$C$73:$C$97, 0), MATCH(F$11, DeployedCapacities!$D$71:$F$71, 0))</f>
        <v>1670</v>
      </c>
      <c r="G15" s="46">
        <f>INDEX(DeployedCapacities!$D$73:$F$97, MATCH($C15, DeployedCapacities!$C$73:$C$97, 0), MATCH(G$11, DeployedCapacities!$D$71:$F$71, 0))</f>
        <v>1670</v>
      </c>
      <c r="H15" s="59">
        <f>SUMIFS(TechAssumptions!$J$16:$J$90, TechAssumptions!$C$16:$C$90, $C15, TechAssumptions!$D$16:$D$90, H$10)*1000</f>
        <v>5870285.5831037639</v>
      </c>
      <c r="I15" s="46">
        <f>SUMIFS(TechAssumptions!$K$16:$K$90, TechAssumptions!$C$16:$C$90, $C15, TechAssumptions!$D$16:$D$90, I$10)*1000</f>
        <v>5870285.5831037639</v>
      </c>
      <c r="J15" s="46">
        <f>SUMIFS(TechAssumptions!$L$16:$L$90, TechAssumptions!$C$16:$C$90, $C15, TechAssumptions!$D$16:$D$90, J$10)*1000</f>
        <v>5870285.5831037639</v>
      </c>
      <c r="K15" s="46">
        <f>(SUMIFS(TechAssumptions!$J$16:$J$90, TechAssumptions!$C$16:$C$90, $C15, TechAssumptions!$D$16:$D$90, K$10))*1000</f>
        <v>98527.164489080169</v>
      </c>
      <c r="L15" s="13">
        <f>SUMIFS(TechAssumptions!$J$16:$J$90, TechAssumptions!$C$16:$C$90, $C15, TechAssumptions!$D$16:$D$90, L$10)</f>
        <v>6.7575757575757578</v>
      </c>
      <c r="M15" s="13">
        <f>INDEX(TechAssumptions!$G$16:$G$90, MATCH(C15, TechAssumptions!$C$16:$C$90, 0))</f>
        <v>60</v>
      </c>
      <c r="N15" s="14">
        <f>INDEX(TechAssumptions!$H$16:$H$90, MATCH(C15, TechAssumptions!$C$16:$C$90, 0))</f>
        <v>0.1</v>
      </c>
      <c r="O15" s="58">
        <f>SUMIFS(DispatchVols_HG!$I:$I, DispatchVols_HG!$E:$E, $C15, DispatchVols_HG!$C:$C, O$11)</f>
        <v>25895.1</v>
      </c>
      <c r="P15" s="13">
        <f>SUMIFS(DispatchVols_HG!$I:$I, DispatchVols_HG!$E:$E, $C15, DispatchVols_HG!$C:$C, P$11)</f>
        <v>30752.85</v>
      </c>
      <c r="Q15" s="13">
        <f>SUMIFS(DispatchVols_HG!$I:$I, DispatchVols_HG!$E:$E, $C15, DispatchVols_HG!$C:$C, Q$11)</f>
        <v>26663.95</v>
      </c>
      <c r="R15" s="58">
        <f t="shared" si="0"/>
        <v>9803.3769237832857</v>
      </c>
      <c r="S15" s="13">
        <f t="shared" si="1"/>
        <v>9803.3769237832857</v>
      </c>
      <c r="T15" s="13">
        <f t="shared" si="2"/>
        <v>9803.3769237832857</v>
      </c>
      <c r="U15" s="84">
        <f t="shared" si="3"/>
        <v>983.56799551580889</v>
      </c>
      <c r="V15" s="46">
        <f t="shared" si="4"/>
        <v>983.56799551580889</v>
      </c>
      <c r="W15" s="79">
        <f t="shared" si="5"/>
        <v>983.56799551580889</v>
      </c>
      <c r="X15" s="84">
        <f t="shared" ref="X15:X38" si="17">($K15*E15)/10^6</f>
        <v>164.54036469676387</v>
      </c>
      <c r="Y15" s="46">
        <f t="shared" si="6"/>
        <v>164.54036469676387</v>
      </c>
      <c r="Z15" s="79">
        <f t="shared" si="7"/>
        <v>164.54036469676387</v>
      </c>
      <c r="AA15" s="46">
        <f>($K15*INDEX(DeployedCapacities!$D$7:$D$31, MATCH($C15, DeployedCapacities!$C$7:$C$31, 0)))/10^6</f>
        <v>598.55252427116204</v>
      </c>
      <c r="AB15" s="46">
        <f t="shared" si="8"/>
        <v>763.09288896792589</v>
      </c>
      <c r="AC15" s="46">
        <f t="shared" si="9"/>
        <v>763.09288896792589</v>
      </c>
      <c r="AD15" s="46">
        <f t="shared" si="10"/>
        <v>763.09288896792589</v>
      </c>
      <c r="AE15" s="84">
        <f t="shared" si="11"/>
        <v>174.9881</v>
      </c>
      <c r="AF15" s="46">
        <f t="shared" si="12"/>
        <v>207.81471363636362</v>
      </c>
      <c r="AG15" s="79">
        <f t="shared" si="13"/>
        <v>180.18366212121214</v>
      </c>
      <c r="AH15" s="84">
        <f t="shared" si="14"/>
        <v>1921.6489844837347</v>
      </c>
      <c r="AI15" s="46">
        <f t="shared" si="15"/>
        <v>1954.4755981200983</v>
      </c>
      <c r="AJ15" s="46">
        <f t="shared" si="16"/>
        <v>1926.8445466049468</v>
      </c>
    </row>
    <row r="16" spans="3:36">
      <c r="C16" t="s">
        <v>25</v>
      </c>
      <c r="D16" t="s">
        <v>412</v>
      </c>
      <c r="E16" s="59">
        <f>INDEX(DeployedCapacities!$D$73:$F$97, MATCH($C16, DeployedCapacities!$C$73:$C$97, 0), MATCH(E$11, DeployedCapacities!$D$71:$F$71, 0))</f>
        <v>32217.750000000004</v>
      </c>
      <c r="F16" s="46">
        <f>INDEX(DeployedCapacities!$D$73:$F$97, MATCH($C16, DeployedCapacities!$C$73:$C$97, 0), MATCH(F$11, DeployedCapacities!$D$71:$F$71, 0))</f>
        <v>32215.750000000004</v>
      </c>
      <c r="G16" s="46">
        <f>INDEX(DeployedCapacities!$D$73:$F$97, MATCH($C16, DeployedCapacities!$C$73:$C$97, 0), MATCH(G$11, DeployedCapacities!$D$71:$F$71, 0))</f>
        <v>6828.3000000000029</v>
      </c>
      <c r="H16" s="59">
        <f>SUMIFS(TechAssumptions!$J$16:$J$90, TechAssumptions!$C$16:$C$90, $C16, TechAssumptions!$D$16:$D$90, H$10)*1000</f>
        <v>662862.38532110082</v>
      </c>
      <c r="I16" s="46">
        <f>SUMIFS(TechAssumptions!$K$16:$K$90, TechAssumptions!$C$16:$C$90, $C16, TechAssumptions!$D$16:$D$90, I$10)*1000</f>
        <v>529015.17290049396</v>
      </c>
      <c r="J16" s="46">
        <f>SUMIFS(TechAssumptions!$L$16:$L$90, TechAssumptions!$C$16:$C$90, $C16, TechAssumptions!$D$16:$D$90, J$10)*1000</f>
        <v>669236.06210303458</v>
      </c>
      <c r="K16" s="46">
        <f>(SUMIFS(TechAssumptions!$J$16:$J$90, TechAssumptions!$C$16:$C$90, $C16, TechAssumptions!$D$16:$D$90, K$10))*1000</f>
        <v>9820.1834862385331</v>
      </c>
      <c r="L16" s="13">
        <f>SUMIFS(TechAssumptions!$J$16:$J$90, TechAssumptions!$C$16:$C$90, $C16, TechAssumptions!$D$16:$D$90, L$10)</f>
        <v>0</v>
      </c>
      <c r="M16" s="13">
        <f>INDEX(TechAssumptions!$G$16:$G$90, MATCH(C16, TechAssumptions!$C$16:$C$90, 0))</f>
        <v>35</v>
      </c>
      <c r="N16" s="14">
        <f>INDEX(TechAssumptions!$H$16:$H$90, MATCH(C16, TechAssumptions!$C$16:$C$90, 0))</f>
        <v>0.05</v>
      </c>
      <c r="O16" s="58">
        <f>SUMIFS(DispatchVols_HG!$I:$I, DispatchVols_HG!$E:$E, $C16, DispatchVols_HG!$C:$C, O$11)</f>
        <v>44161.59</v>
      </c>
      <c r="P16" s="13">
        <f>SUMIFS(DispatchVols_HG!$I:$I, DispatchVols_HG!$E:$E, $C16, DispatchVols_HG!$C:$C, P$11)</f>
        <v>38115.800000000003</v>
      </c>
      <c r="Q16" s="13">
        <f>SUMIFS(DispatchVols_HG!$I:$I, DispatchVols_HG!$E:$E, $C16, DispatchVols_HG!$C:$C, Q$11)</f>
        <v>22813.1</v>
      </c>
      <c r="R16" s="58">
        <f t="shared" si="0"/>
        <v>21355.934614678899</v>
      </c>
      <c r="S16" s="13">
        <f t="shared" si="1"/>
        <v>21354.608889908257</v>
      </c>
      <c r="T16" s="13">
        <f t="shared" si="2"/>
        <v>4526.2232256880752</v>
      </c>
      <c r="U16" s="84">
        <f t="shared" si="3"/>
        <v>1304.2433864288412</v>
      </c>
      <c r="V16" s="46">
        <f t="shared" si="4"/>
        <v>1304.16242215378</v>
      </c>
      <c r="W16" s="79">
        <f t="shared" si="5"/>
        <v>276.42417970069482</v>
      </c>
      <c r="X16" s="84">
        <f t="shared" si="17"/>
        <v>316.38421651376154</v>
      </c>
      <c r="Y16" s="46">
        <f t="shared" si="6"/>
        <v>316.36457614678909</v>
      </c>
      <c r="Z16" s="79">
        <f t="shared" si="7"/>
        <v>67.055158899082599</v>
      </c>
      <c r="AA16" s="46">
        <f>($K16*INDEX(DeployedCapacities!$D$7:$D$31, MATCH($C16, DeployedCapacities!$C$7:$C$31, 0)))/10^6</f>
        <v>148.64075229357798</v>
      </c>
      <c r="AB16" s="46">
        <f t="shared" si="8"/>
        <v>465.02496880733952</v>
      </c>
      <c r="AC16" s="46">
        <f t="shared" si="9"/>
        <v>465.00532844036707</v>
      </c>
      <c r="AD16" s="46">
        <f t="shared" si="10"/>
        <v>215.69591119266056</v>
      </c>
      <c r="AE16" s="84">
        <f t="shared" si="11"/>
        <v>0</v>
      </c>
      <c r="AF16" s="46">
        <f t="shared" si="12"/>
        <v>0</v>
      </c>
      <c r="AG16" s="79">
        <f t="shared" si="13"/>
        <v>0</v>
      </c>
      <c r="AH16" s="84">
        <f t="shared" si="14"/>
        <v>1769.2683552361805</v>
      </c>
      <c r="AI16" s="46">
        <f t="shared" si="15"/>
        <v>1769.167750594147</v>
      </c>
      <c r="AJ16" s="46">
        <f t="shared" si="16"/>
        <v>492.12009089335538</v>
      </c>
    </row>
    <row r="17" spans="3:36">
      <c r="C17" t="s">
        <v>26</v>
      </c>
      <c r="D17" t="s">
        <v>413</v>
      </c>
      <c r="E17" s="59">
        <f>INDEX(DeployedCapacities!$D$73:$F$97, MATCH($C17, DeployedCapacities!$C$73:$C$97, 0), MATCH(E$11, DeployedCapacities!$D$71:$F$71, 0))</f>
        <v>262.40999999999985</v>
      </c>
      <c r="F17" s="46">
        <f>INDEX(DeployedCapacities!$D$73:$F$97, MATCH($C17, DeployedCapacities!$C$73:$C$97, 0), MATCH(F$11, DeployedCapacities!$D$71:$F$71, 0))</f>
        <v>262.40999999999985</v>
      </c>
      <c r="G17" s="46">
        <f>INDEX(DeployedCapacities!$D$73:$F$97, MATCH($C17, DeployedCapacities!$C$73:$C$97, 0), MATCH(G$11, DeployedCapacities!$D$71:$F$71, 0))</f>
        <v>430.62999999999965</v>
      </c>
      <c r="H17" s="59">
        <f>SUMIFS(TechAssumptions!$J$16:$J$90, TechAssumptions!$C$16:$C$90, $C17, TechAssumptions!$D$16:$D$90, H$10)*1000</f>
        <v>11828007.395401591</v>
      </c>
      <c r="I17" s="46">
        <f>SUMIFS(TechAssumptions!$K$16:$K$90, TechAssumptions!$C$16:$C$90, $C17, TechAssumptions!$D$16:$D$90, I$10)*1000</f>
        <v>11828007.395401591</v>
      </c>
      <c r="J17" s="46">
        <f>SUMIFS(TechAssumptions!$L$16:$L$90, TechAssumptions!$C$16:$C$90, $C17, TechAssumptions!$D$16:$D$90, J$10)*1000</f>
        <v>11828007.395401591</v>
      </c>
      <c r="K17" s="46">
        <f>(SUMIFS(TechAssumptions!$J$16:$J$90, TechAssumptions!$C$16:$C$90, $C17, TechAssumptions!$D$16:$D$90, K$10))*1000</f>
        <v>228564.77064220185</v>
      </c>
      <c r="L17" s="13">
        <f>SUMIFS(TechAssumptions!$J$16:$J$90, TechAssumptions!$C$16:$C$90, $C17, TechAssumptions!$D$16:$D$90, L$10)</f>
        <v>33.143119266055045</v>
      </c>
      <c r="M17" s="13">
        <f>INDEX(TechAssumptions!$G$16:$G$90, MATCH(C17, TechAssumptions!$C$16:$C$90, 0))</f>
        <v>35</v>
      </c>
      <c r="N17" s="14">
        <f>INDEX(TechAssumptions!$H$16:$H$90, MATCH(C17, TechAssumptions!$C$16:$C$90, 0))</f>
        <v>6.5000000000000002E-2</v>
      </c>
      <c r="O17" s="58">
        <f>SUMIFS(DispatchVols_HG!$I:$I, DispatchVols_HG!$E:$E, $C17, DispatchVols_HG!$C:$C, O$11)</f>
        <v>8140.78</v>
      </c>
      <c r="P17" s="13">
        <f>SUMIFS(DispatchVols_HG!$I:$I, DispatchVols_HG!$E:$E, $C17, DispatchVols_HG!$C:$C, P$11)</f>
        <v>8084.98</v>
      </c>
      <c r="Q17" s="13">
        <f>SUMIFS(DispatchVols_HG!$I:$I, DispatchVols_HG!$E:$E, $C17, DispatchVols_HG!$C:$C, Q$11)</f>
        <v>9321.7000000000007</v>
      </c>
      <c r="R17" s="58">
        <f t="shared" si="0"/>
        <v>3103.78742062733</v>
      </c>
      <c r="S17" s="13">
        <f t="shared" si="1"/>
        <v>3103.78742062733</v>
      </c>
      <c r="T17" s="13">
        <f t="shared" si="2"/>
        <v>5093.4948246817839</v>
      </c>
      <c r="U17" s="84">
        <f t="shared" si="3"/>
        <v>226.76972546495986</v>
      </c>
      <c r="V17" s="46">
        <f t="shared" si="4"/>
        <v>226.76972546495986</v>
      </c>
      <c r="W17" s="79">
        <f t="shared" si="5"/>
        <v>372.14224639676706</v>
      </c>
      <c r="X17" s="84">
        <f t="shared" si="17"/>
        <v>59.977681464220154</v>
      </c>
      <c r="Y17" s="46">
        <f t="shared" si="6"/>
        <v>59.977681464220154</v>
      </c>
      <c r="Z17" s="79">
        <f t="shared" si="7"/>
        <v>98.426847181651311</v>
      </c>
      <c r="AA17" s="46">
        <f>($K17*INDEX(DeployedCapacities!$D$7:$D$31, MATCH($C17, DeployedCapacities!$C$7:$C$31, 0)))/10^6</f>
        <v>367.10930636697253</v>
      </c>
      <c r="AB17" s="46">
        <f t="shared" si="8"/>
        <v>427.08698783119269</v>
      </c>
      <c r="AC17" s="46">
        <f t="shared" si="9"/>
        <v>427.08698783119269</v>
      </c>
      <c r="AD17" s="46">
        <f t="shared" si="10"/>
        <v>465.53615354862382</v>
      </c>
      <c r="AE17" s="84">
        <f t="shared" si="11"/>
        <v>269.81084245871557</v>
      </c>
      <c r="AF17" s="46">
        <f t="shared" si="12"/>
        <v>267.96145640366967</v>
      </c>
      <c r="AG17" s="79">
        <f t="shared" si="13"/>
        <v>308.95021486238534</v>
      </c>
      <c r="AH17" s="84">
        <f t="shared" si="14"/>
        <v>923.66755575486809</v>
      </c>
      <c r="AI17" s="46">
        <f t="shared" si="15"/>
        <v>921.81816969982219</v>
      </c>
      <c r="AJ17" s="46">
        <f t="shared" si="16"/>
        <v>1146.6286148077761</v>
      </c>
    </row>
    <row r="18" spans="3:36">
      <c r="C18" t="s">
        <v>216</v>
      </c>
      <c r="D18" t="s">
        <v>413</v>
      </c>
      <c r="E18" s="59">
        <f>INDEX(DeployedCapacities!$D$73:$F$97, MATCH($C18, DeployedCapacities!$C$73:$C$97, 0), MATCH(E$11, DeployedCapacities!$D$71:$F$71, 0))</f>
        <v>612.53</v>
      </c>
      <c r="F18" s="46">
        <f>INDEX(DeployedCapacities!$D$73:$F$97, MATCH($C18, DeployedCapacities!$C$73:$C$97, 0), MATCH(F$11, DeployedCapacities!$D$71:$F$71, 0))</f>
        <v>612.53</v>
      </c>
      <c r="G18" s="46">
        <f>INDEX(DeployedCapacities!$D$73:$F$97, MATCH($C18, DeployedCapacities!$C$73:$C$97, 0), MATCH(G$11, DeployedCapacities!$D$71:$F$71, 0))</f>
        <v>0</v>
      </c>
      <c r="H18" s="59">
        <f>SUMIFS(TechAssumptions!$J$16:$J$90, TechAssumptions!$C$16:$C$90, $C18, TechAssumptions!$D$16:$D$90, H$10)*1000</f>
        <v>16046179.81651376</v>
      </c>
      <c r="I18" s="46">
        <f>SUMIFS(TechAssumptions!$K$16:$K$90, TechAssumptions!$C$16:$C$90, $C18, TechAssumptions!$D$16:$D$90, I$10)*1000</f>
        <v>9244658.7904275842</v>
      </c>
      <c r="J18" s="46">
        <f>SUMIFS(TechAssumptions!$L$16:$L$90, TechAssumptions!$C$16:$C$90, $C18, TechAssumptions!$D$16:$D$90, J$10)*1000</f>
        <v>19553827.606746785</v>
      </c>
      <c r="K18" s="46">
        <f>(SUMIFS(TechAssumptions!$J$16:$J$90, TechAssumptions!$C$16:$C$90, $C18, TechAssumptions!$D$16:$D$90, K$10))*1000</f>
        <v>228564.77064220185</v>
      </c>
      <c r="L18" s="13">
        <f>SUMIFS(TechAssumptions!$J$16:$J$90, TechAssumptions!$C$16:$C$90, $C18, TechAssumptions!$D$16:$D$90, L$10)</f>
        <v>74.878899082568807</v>
      </c>
      <c r="M18" s="13">
        <f>INDEX(TechAssumptions!$G$16:$G$90, MATCH(C18, TechAssumptions!$C$16:$C$90, 0))</f>
        <v>27</v>
      </c>
      <c r="N18" s="14">
        <f>INDEX(TechAssumptions!$H$16:$H$90, MATCH(C18, TechAssumptions!$C$16:$C$90, 0))</f>
        <v>6.5000000000000002E-2</v>
      </c>
      <c r="O18" s="58">
        <f>SUMIFS(DispatchVols_HG!$I:$I, DispatchVols_HG!$E:$E, $C18, DispatchVols_HG!$C:$C, O$11)</f>
        <v>0</v>
      </c>
      <c r="P18" s="13">
        <f>SUMIFS(DispatchVols_HG!$I:$I, DispatchVols_HG!$E:$E, $C18, DispatchVols_HG!$C:$C, P$11)</f>
        <v>0</v>
      </c>
      <c r="Q18" s="13">
        <f>SUMIFS(DispatchVols_HG!$I:$I, DispatchVols_HG!$E:$E, $C18, DispatchVols_HG!$C:$C, Q$11)</f>
        <v>0</v>
      </c>
      <c r="R18" s="58">
        <f t="shared" si="0"/>
        <v>9828.7665230091716</v>
      </c>
      <c r="S18" s="13">
        <f t="shared" si="1"/>
        <v>9828.7665230091716</v>
      </c>
      <c r="T18" s="13">
        <f t="shared" si="2"/>
        <v>0</v>
      </c>
      <c r="U18" s="84">
        <f t="shared" si="3"/>
        <v>781.61179714717855</v>
      </c>
      <c r="V18" s="46">
        <f t="shared" si="4"/>
        <v>781.61179714717855</v>
      </c>
      <c r="W18" s="79">
        <f t="shared" si="5"/>
        <v>0</v>
      </c>
      <c r="X18" s="84">
        <f t="shared" si="17"/>
        <v>140.0027789614679</v>
      </c>
      <c r="Y18" s="46">
        <f t="shared" si="6"/>
        <v>140.0027789614679</v>
      </c>
      <c r="Z18" s="79">
        <f t="shared" si="7"/>
        <v>0</v>
      </c>
      <c r="AA18" s="46">
        <f>($K18*INDEX(DeployedCapacities!$D$7:$D$31, MATCH($C18, DeployedCapacities!$C$7:$C$31, 0)))/10^6</f>
        <v>0</v>
      </c>
      <c r="AB18" s="46">
        <f t="shared" si="8"/>
        <v>140.0027789614679</v>
      </c>
      <c r="AC18" s="46">
        <f t="shared" si="9"/>
        <v>140.0027789614679</v>
      </c>
      <c r="AD18" s="46">
        <f t="shared" si="10"/>
        <v>0</v>
      </c>
      <c r="AE18" s="84">
        <f t="shared" si="11"/>
        <v>0</v>
      </c>
      <c r="AF18" s="46">
        <f t="shared" si="12"/>
        <v>0</v>
      </c>
      <c r="AG18" s="79">
        <f t="shared" si="13"/>
        <v>0</v>
      </c>
      <c r="AH18" s="84">
        <f t="shared" si="14"/>
        <v>921.61457610864647</v>
      </c>
      <c r="AI18" s="46">
        <f t="shared" si="15"/>
        <v>921.61457610864647</v>
      </c>
      <c r="AJ18" s="46">
        <f t="shared" si="16"/>
        <v>0</v>
      </c>
    </row>
    <row r="19" spans="3:36">
      <c r="C19" t="s">
        <v>209</v>
      </c>
      <c r="D19" t="s">
        <v>410</v>
      </c>
      <c r="E19" s="59">
        <f>INDEX(DeployedCapacities!$D$73:$F$97, MATCH($C19, DeployedCapacities!$C$73:$C$97, 0), MATCH(E$11, DeployedCapacities!$D$71:$F$71, 0))</f>
        <v>1447.86</v>
      </c>
      <c r="F19" s="46">
        <f>INDEX(DeployedCapacities!$D$73:$F$97, MATCH($C19, DeployedCapacities!$C$73:$C$97, 0), MATCH(F$11, DeployedCapacities!$D$71:$F$71, 0))</f>
        <v>1447.86</v>
      </c>
      <c r="G19" s="46">
        <f>INDEX(DeployedCapacities!$D$73:$F$97, MATCH($C19, DeployedCapacities!$C$73:$C$97, 0), MATCH(G$11, DeployedCapacities!$D$71:$F$71, 0))</f>
        <v>1921.6833220999999</v>
      </c>
      <c r="H19" s="59">
        <f>SUMIFS(TechAssumptions!$J$16:$J$90, TechAssumptions!$C$16:$C$90, $C19, TechAssumptions!$D$16:$D$90, H$10)*1000</f>
        <v>1181198.5583224115</v>
      </c>
      <c r="I19" s="46">
        <f>SUMIFS(TechAssumptions!$K$16:$K$90, TechAssumptions!$C$16:$C$90, $C19, TechAssumptions!$D$16:$D$90, I$10)*1000</f>
        <v>1181198.5583224115</v>
      </c>
      <c r="J19" s="46">
        <f>SUMIFS(TechAssumptions!$L$16:$L$90, TechAssumptions!$C$16:$C$90, $C19, TechAssumptions!$D$16:$D$90, J$10)*1000</f>
        <v>1181198.5583224115</v>
      </c>
      <c r="K19" s="46">
        <f>(SUMIFS(TechAssumptions!$J$16:$J$90, TechAssumptions!$C$16:$C$90, $C19, TechAssumptions!$D$16:$D$90, K$10))*1000</f>
        <v>43699.816513761463</v>
      </c>
      <c r="L19" s="13">
        <f>SUMIFS(TechAssumptions!$J$16:$J$90, TechAssumptions!$C$16:$C$90, $C19, TechAssumptions!$D$16:$D$90, L$10)</f>
        <v>4.9100917431192661</v>
      </c>
      <c r="M19" s="13">
        <f>INDEX(TechAssumptions!$G$16:$G$90, MATCH(C19, TechAssumptions!$C$16:$C$90, 0))</f>
        <v>25</v>
      </c>
      <c r="N19" s="14">
        <f>INDEX(TechAssumptions!$H$16:$H$90, MATCH(C19, TechAssumptions!$C$16:$C$90, 0))</f>
        <v>0.09</v>
      </c>
      <c r="O19" s="58">
        <f>SUMIFS(DispatchVols_HG!$I:$I, DispatchVols_HG!$E:$E, $C19, DispatchVols_HG!$C:$C, O$11)</f>
        <v>0</v>
      </c>
      <c r="P19" s="13">
        <f>SUMIFS(DispatchVols_HG!$I:$I, DispatchVols_HG!$E:$E, $C19, DispatchVols_HG!$C:$C, P$11)</f>
        <v>0</v>
      </c>
      <c r="Q19" s="13">
        <f>SUMIFS(DispatchVols_HG!$I:$I, DispatchVols_HG!$E:$E, $C19, DispatchVols_HG!$C:$C, Q$11)</f>
        <v>0</v>
      </c>
      <c r="R19" s="58">
        <f t="shared" si="0"/>
        <v>1710.2101446526865</v>
      </c>
      <c r="S19" s="13">
        <f t="shared" si="1"/>
        <v>1710.2101446526865</v>
      </c>
      <c r="T19" s="13">
        <f t="shared" si="2"/>
        <v>2269.8895696167419</v>
      </c>
      <c r="U19" s="84">
        <f t="shared" si="3"/>
        <v>174.11008242591438</v>
      </c>
      <c r="V19" s="46">
        <f t="shared" si="4"/>
        <v>174.11008242591438</v>
      </c>
      <c r="W19" s="79">
        <f t="shared" si="5"/>
        <v>231.08894617389521</v>
      </c>
      <c r="X19" s="84">
        <f t="shared" si="17"/>
        <v>63.271216337614668</v>
      </c>
      <c r="Y19" s="46">
        <f t="shared" si="6"/>
        <v>63.271216337614668</v>
      </c>
      <c r="Z19" s="79">
        <f t="shared" si="7"/>
        <v>83.977208573325555</v>
      </c>
      <c r="AA19" s="46">
        <f>($K19*INDEX(DeployedCapacities!$D$7:$D$31, MATCH($C19, DeployedCapacities!$C$7:$C$31, 0)))/10^6</f>
        <v>0</v>
      </c>
      <c r="AB19" s="46">
        <f t="shared" si="8"/>
        <v>63.271216337614668</v>
      </c>
      <c r="AC19" s="46">
        <f t="shared" si="9"/>
        <v>63.271216337614668</v>
      </c>
      <c r="AD19" s="46">
        <f t="shared" si="10"/>
        <v>83.977208573325555</v>
      </c>
      <c r="AE19" s="84">
        <f t="shared" si="11"/>
        <v>0</v>
      </c>
      <c r="AF19" s="46">
        <f t="shared" si="12"/>
        <v>0</v>
      </c>
      <c r="AG19" s="79">
        <f t="shared" si="13"/>
        <v>0</v>
      </c>
      <c r="AH19" s="84">
        <f t="shared" si="14"/>
        <v>237.38129876352906</v>
      </c>
      <c r="AI19" s="46">
        <f t="shared" si="15"/>
        <v>237.38129876352906</v>
      </c>
      <c r="AJ19" s="46">
        <f t="shared" si="16"/>
        <v>315.06615474722076</v>
      </c>
    </row>
    <row r="20" spans="3:36">
      <c r="C20" t="s">
        <v>210</v>
      </c>
      <c r="D20" t="s">
        <v>413</v>
      </c>
      <c r="E20" s="59">
        <f>INDEX(DeployedCapacities!$D$73:$F$97, MATCH($C20, DeployedCapacities!$C$73:$C$97, 0), MATCH(E$11, DeployedCapacities!$D$71:$F$71, 0))</f>
        <v>146.47</v>
      </c>
      <c r="F20" s="46">
        <f>INDEX(DeployedCapacities!$D$73:$F$97, MATCH($C20, DeployedCapacities!$C$73:$C$97, 0), MATCH(F$11, DeployedCapacities!$D$71:$F$71, 0))</f>
        <v>146.47</v>
      </c>
      <c r="G20" s="46">
        <f>INDEX(DeployedCapacities!$D$73:$F$97, MATCH($C20, DeployedCapacities!$C$73:$C$97, 0), MATCH(G$11, DeployedCapacities!$D$71:$F$71, 0))</f>
        <v>0</v>
      </c>
      <c r="H20" s="59">
        <f>SUMIFS(TechAssumptions!$J$16:$J$90, TechAssumptions!$C$16:$C$90, $C20, TechAssumptions!$D$16:$D$90, H$10)*1000</f>
        <v>892102.29357798165</v>
      </c>
      <c r="I20" s="46">
        <f>SUMIFS(TechAssumptions!$K$16:$K$90, TechAssumptions!$C$16:$C$90, $C20, TechAssumptions!$D$16:$D$90, I$10)*1000</f>
        <v>892102.29357798165</v>
      </c>
      <c r="J20" s="46">
        <f>SUMIFS(TechAssumptions!$L$16:$L$90, TechAssumptions!$C$16:$C$90, $C20, TechAssumptions!$D$16:$D$90, J$10)*1000</f>
        <v>892102.29357798165</v>
      </c>
      <c r="K20" s="46">
        <f>(SUMIFS(TechAssumptions!$J$16:$J$90, TechAssumptions!$C$16:$C$90, $C20, TechAssumptions!$D$16:$D$90, K$10))*1000</f>
        <v>22463.669724770643</v>
      </c>
      <c r="L20" s="13">
        <f>SUMIFS(TechAssumptions!$J$16:$J$90, TechAssumptions!$C$16:$C$90, $C20, TechAssumptions!$D$16:$D$90, L$10)</f>
        <v>2.4550458715596331</v>
      </c>
      <c r="M20" s="13">
        <f>INDEX(TechAssumptions!$G$16:$G$90, MATCH(C20, TechAssumptions!$C$16:$C$90, 0))</f>
        <v>25</v>
      </c>
      <c r="N20" s="14">
        <f>INDEX(TechAssumptions!$H$16:$H$90, MATCH(C20, TechAssumptions!$C$16:$C$90, 0))</f>
        <v>0.09</v>
      </c>
      <c r="O20" s="58">
        <f>SUMIFS(DispatchVols_HG!$I:$I, DispatchVols_HG!$E:$E, $C20, DispatchVols_HG!$C:$C, O$11)</f>
        <v>0</v>
      </c>
      <c r="P20" s="13">
        <f>SUMIFS(DispatchVols_HG!$I:$I, DispatchVols_HG!$E:$E, $C20, DispatchVols_HG!$C:$C, P$11)</f>
        <v>0</v>
      </c>
      <c r="Q20" s="13">
        <f>SUMIFS(DispatchVols_HG!$I:$I, DispatchVols_HG!$E:$E, $C20, DispatchVols_HG!$C:$C, Q$11)</f>
        <v>0</v>
      </c>
      <c r="R20" s="58">
        <f t="shared" si="0"/>
        <v>130.66622294036696</v>
      </c>
      <c r="S20" s="13">
        <f t="shared" si="1"/>
        <v>130.66622294036696</v>
      </c>
      <c r="T20" s="13">
        <f t="shared" si="2"/>
        <v>0</v>
      </c>
      <c r="U20" s="84">
        <f t="shared" si="3"/>
        <v>13.302638226982559</v>
      </c>
      <c r="V20" s="46">
        <f t="shared" si="4"/>
        <v>13.302638226982559</v>
      </c>
      <c r="W20" s="79">
        <f t="shared" si="5"/>
        <v>0</v>
      </c>
      <c r="X20" s="84">
        <f t="shared" si="17"/>
        <v>3.290253704587156</v>
      </c>
      <c r="Y20" s="46">
        <f t="shared" si="6"/>
        <v>3.290253704587156</v>
      </c>
      <c r="Z20" s="79">
        <f t="shared" si="7"/>
        <v>0</v>
      </c>
      <c r="AA20" s="46">
        <f>($K20*INDEX(DeployedCapacities!$D$7:$D$31, MATCH($C20, DeployedCapacities!$C$7:$C$31, 0)))/10^6</f>
        <v>0</v>
      </c>
      <c r="AB20" s="46">
        <f t="shared" si="8"/>
        <v>3.290253704587156</v>
      </c>
      <c r="AC20" s="46">
        <f t="shared" si="9"/>
        <v>3.290253704587156</v>
      </c>
      <c r="AD20" s="46">
        <f t="shared" si="10"/>
        <v>0</v>
      </c>
      <c r="AE20" s="84">
        <f t="shared" si="11"/>
        <v>0</v>
      </c>
      <c r="AF20" s="46">
        <f t="shared" si="12"/>
        <v>0</v>
      </c>
      <c r="AG20" s="79">
        <f t="shared" si="13"/>
        <v>0</v>
      </c>
      <c r="AH20" s="84">
        <f t="shared" si="14"/>
        <v>16.592891931569714</v>
      </c>
      <c r="AI20" s="46">
        <f t="shared" si="15"/>
        <v>16.592891931569714</v>
      </c>
      <c r="AJ20" s="46">
        <f t="shared" si="16"/>
        <v>0</v>
      </c>
    </row>
    <row r="21" spans="3:36">
      <c r="C21" t="s">
        <v>29</v>
      </c>
      <c r="D21" t="s">
        <v>413</v>
      </c>
      <c r="E21" s="59">
        <f>INDEX(DeployedCapacities!$D$73:$F$97, MATCH($C21, DeployedCapacities!$C$73:$C$97, 0), MATCH(E$11, DeployedCapacities!$D$71:$F$71, 0))</f>
        <v>0</v>
      </c>
      <c r="F21" s="46">
        <f>INDEX(DeployedCapacities!$D$73:$F$97, MATCH($C21, DeployedCapacities!$C$73:$C$97, 0), MATCH(F$11, DeployedCapacities!$D$71:$F$71, 0))</f>
        <v>0</v>
      </c>
      <c r="G21" s="46">
        <f>INDEX(DeployedCapacities!$D$73:$F$97, MATCH($C21, DeployedCapacities!$C$73:$C$97, 0), MATCH(G$11, DeployedCapacities!$D$71:$F$71, 0))</f>
        <v>0</v>
      </c>
      <c r="H21" s="59">
        <f>SUMIFS(TechAssumptions!$J$16:$J$90, TechAssumptions!$C$16:$C$90, $C21, TechAssumptions!$D$16:$D$90, H$10)*1000</f>
        <v>7332787.2309002094</v>
      </c>
      <c r="I21" s="46">
        <f>SUMIFS(TechAssumptions!$K$16:$K$90, TechAssumptions!$C$16:$C$90, $C21, TechAssumptions!$D$16:$D$90, I$10)*1000</f>
        <v>5596174.7388486071</v>
      </c>
      <c r="J21" s="46">
        <f>SUMIFS(TechAssumptions!$L$16:$L$90, TechAssumptions!$C$16:$C$90, $C21, TechAssumptions!$D$16:$D$90, J$10)*1000</f>
        <v>8710183.0331977941</v>
      </c>
      <c r="K21" s="46">
        <f>(SUMIFS(TechAssumptions!$J$16:$J$90, TechAssumptions!$C$16:$C$90, $C21, TechAssumptions!$D$16:$D$90, K$10))*1000</f>
        <v>353894.86238532112</v>
      </c>
      <c r="L21" s="13">
        <f>SUMIFS(TechAssumptions!$J$16:$J$90, TechAssumptions!$C$16:$C$90, $C21, TechAssumptions!$D$16:$D$90, L$10)</f>
        <v>12.275229357798166</v>
      </c>
      <c r="M21" s="13">
        <f>INDEX(TechAssumptions!$G$16:$G$90, MATCH(C21, TechAssumptions!$C$16:$C$90, 0))</f>
        <v>24</v>
      </c>
      <c r="N21" s="14">
        <f>INDEX(TechAssumptions!$H$16:$H$90, MATCH(C21, TechAssumptions!$C$16:$C$90, 0))</f>
        <v>9.9000000000000005E-2</v>
      </c>
      <c r="O21" s="58">
        <f>SUMIFS(DispatchVols_HG!$I:$I, DispatchVols_HG!$E:$E, $C21, DispatchVols_HG!$C:$C, O$11)</f>
        <v>400.75</v>
      </c>
      <c r="P21" s="13">
        <f>SUMIFS(DispatchVols_HG!$I:$I, DispatchVols_HG!$E:$E, $C21, DispatchVols_HG!$C:$C, P$11)</f>
        <v>381.65</v>
      </c>
      <c r="Q21" s="13">
        <f>SUMIFS(DispatchVols_HG!$I:$I, DispatchVols_HG!$E:$E, $C21, DispatchVols_HG!$C:$C, Q$11)</f>
        <v>117.3</v>
      </c>
      <c r="R21" s="58">
        <f t="shared" si="0"/>
        <v>0</v>
      </c>
      <c r="S21" s="13">
        <f t="shared" si="1"/>
        <v>0</v>
      </c>
      <c r="T21" s="13">
        <f t="shared" si="2"/>
        <v>0</v>
      </c>
      <c r="U21" s="84">
        <f t="shared" si="3"/>
        <v>0</v>
      </c>
      <c r="V21" s="46">
        <f t="shared" si="4"/>
        <v>0</v>
      </c>
      <c r="W21" s="79">
        <f t="shared" si="5"/>
        <v>0</v>
      </c>
      <c r="X21" s="84">
        <f t="shared" si="17"/>
        <v>0</v>
      </c>
      <c r="Y21" s="46">
        <f t="shared" si="6"/>
        <v>0</v>
      </c>
      <c r="Z21" s="79">
        <f t="shared" si="7"/>
        <v>0</v>
      </c>
      <c r="AA21" s="46">
        <f>($K21*INDEX(DeployedCapacities!$D$7:$D$31, MATCH($C21, DeployedCapacities!$C$7:$C$31, 0)))/10^6</f>
        <v>46.714121834862389</v>
      </c>
      <c r="AB21" s="46">
        <f t="shared" si="8"/>
        <v>46.714121834862389</v>
      </c>
      <c r="AC21" s="46">
        <f t="shared" si="9"/>
        <v>46.714121834862389</v>
      </c>
      <c r="AD21" s="46">
        <f t="shared" si="10"/>
        <v>46.714121834862389</v>
      </c>
      <c r="AE21" s="84">
        <f t="shared" si="11"/>
        <v>4.9192981651376151</v>
      </c>
      <c r="AF21" s="46">
        <f t="shared" si="12"/>
        <v>4.68484128440367</v>
      </c>
      <c r="AG21" s="79">
        <f t="shared" si="13"/>
        <v>1.4398844036697247</v>
      </c>
      <c r="AH21" s="84">
        <f t="shared" si="14"/>
        <v>51.633420000000001</v>
      </c>
      <c r="AI21" s="46">
        <f t="shared" si="15"/>
        <v>51.398963119266057</v>
      </c>
      <c r="AJ21" s="46">
        <f t="shared" si="16"/>
        <v>48.154006238532112</v>
      </c>
    </row>
    <row r="22" spans="3:36">
      <c r="C22" t="s">
        <v>30</v>
      </c>
      <c r="D22" t="s">
        <v>410</v>
      </c>
      <c r="E22" s="59">
        <f>INDEX(DeployedCapacities!$D$73:$F$97, MATCH($C22, DeployedCapacities!$C$73:$C$97, 0), MATCH(E$11, DeployedCapacities!$D$71:$F$71, 0))</f>
        <v>0</v>
      </c>
      <c r="F22" s="46">
        <f>INDEX(DeployedCapacities!$D$73:$F$97, MATCH($C22, DeployedCapacities!$C$73:$C$97, 0), MATCH(F$11, DeployedCapacities!$D$71:$F$71, 0))</f>
        <v>0</v>
      </c>
      <c r="G22" s="46">
        <f>INDEX(DeployedCapacities!$D$73:$F$97, MATCH($C22, DeployedCapacities!$C$73:$C$97, 0), MATCH(G$11, DeployedCapacities!$D$71:$F$71, 0))</f>
        <v>0</v>
      </c>
      <c r="H22" s="59">
        <f>SUMIFS(TechAssumptions!$J$16:$J$90, TechAssumptions!$C$16:$C$90, $C22, TechAssumptions!$D$16:$D$90, H$10)*1000</f>
        <v>766485.77981651376</v>
      </c>
      <c r="I22" s="46">
        <f>SUMIFS(TechAssumptions!$K$16:$K$90, TechAssumptions!$C$16:$C$90, $C22, TechAssumptions!$D$16:$D$90, I$10)*1000</f>
        <v>766485.77981651376</v>
      </c>
      <c r="J22" s="46">
        <f>SUMIFS(TechAssumptions!$L$16:$L$90, TechAssumptions!$C$16:$C$90, $C22, TechAssumptions!$D$16:$D$90, J$10)*1000</f>
        <v>766485.77981651376</v>
      </c>
      <c r="K22" s="46">
        <f>(SUMIFS(TechAssumptions!$J$16:$J$90, TechAssumptions!$C$16:$C$90, $C22, TechAssumptions!$D$16:$D$90, K$10))*1000</f>
        <v>20131.376146788989</v>
      </c>
      <c r="L22" s="13">
        <f>SUMIFS(TechAssumptions!$J$16:$J$90, TechAssumptions!$C$16:$C$90, $C22, TechAssumptions!$D$16:$D$90, L$10)</f>
        <v>2.4550458715596331</v>
      </c>
      <c r="M22" s="13">
        <f>INDEX(TechAssumptions!$G$16:$G$90, MATCH(C22, TechAssumptions!$C$16:$C$90, 0))</f>
        <v>25</v>
      </c>
      <c r="N22" s="14">
        <f>INDEX(TechAssumptions!$H$16:$H$90, MATCH(C22, TechAssumptions!$C$16:$C$90, 0))</f>
        <v>7.4999999999999997E-2</v>
      </c>
      <c r="O22" s="58">
        <f>SUMIFS(DispatchVols_HG!$I:$I, DispatchVols_HG!$E:$E, $C22, DispatchVols_HG!$C:$C, O$11)</f>
        <v>18659.400000000001</v>
      </c>
      <c r="P22" s="13">
        <f>SUMIFS(DispatchVols_HG!$I:$I, DispatchVols_HG!$E:$E, $C22, DispatchVols_HG!$C:$C, P$11)</f>
        <v>22899.8</v>
      </c>
      <c r="Q22" s="13">
        <f>SUMIFS(DispatchVols_HG!$I:$I, DispatchVols_HG!$E:$E, $C22, DispatchVols_HG!$C:$C, Q$11)</f>
        <v>68112.77</v>
      </c>
      <c r="R22" s="58">
        <f t="shared" si="0"/>
        <v>0</v>
      </c>
      <c r="S22" s="13">
        <f t="shared" si="1"/>
        <v>0</v>
      </c>
      <c r="T22" s="13">
        <f t="shared" si="2"/>
        <v>0</v>
      </c>
      <c r="U22" s="84">
        <f t="shared" si="3"/>
        <v>0</v>
      </c>
      <c r="V22" s="46">
        <f t="shared" si="4"/>
        <v>0</v>
      </c>
      <c r="W22" s="79">
        <f t="shared" si="5"/>
        <v>0</v>
      </c>
      <c r="X22" s="84">
        <f t="shared" si="17"/>
        <v>0</v>
      </c>
      <c r="Y22" s="46">
        <f t="shared" si="6"/>
        <v>0</v>
      </c>
      <c r="Z22" s="79">
        <f t="shared" si="7"/>
        <v>0</v>
      </c>
      <c r="AA22" s="46">
        <f>($K22*INDEX(DeployedCapacities!$D$7:$D$31, MATCH($C22, DeployedCapacities!$C$7:$C$31, 0)))/10^6</f>
        <v>589.89340881467876</v>
      </c>
      <c r="AB22" s="46">
        <f t="shared" si="8"/>
        <v>589.89340881467876</v>
      </c>
      <c r="AC22" s="46">
        <f t="shared" si="9"/>
        <v>589.89340881467876</v>
      </c>
      <c r="AD22" s="46">
        <f t="shared" si="10"/>
        <v>589.89340881467876</v>
      </c>
      <c r="AE22" s="84">
        <f t="shared" si="11"/>
        <v>45.809682935779826</v>
      </c>
      <c r="AF22" s="46">
        <f t="shared" si="12"/>
        <v>56.220059449541289</v>
      </c>
      <c r="AG22" s="79">
        <f t="shared" si="13"/>
        <v>167.21997478899087</v>
      </c>
      <c r="AH22" s="84">
        <f t="shared" si="14"/>
        <v>635.70309175045861</v>
      </c>
      <c r="AI22" s="46">
        <f t="shared" si="15"/>
        <v>646.11346826422005</v>
      </c>
      <c r="AJ22" s="46">
        <f t="shared" si="16"/>
        <v>757.1133836036696</v>
      </c>
    </row>
    <row r="23" spans="3:36">
      <c r="C23" t="s">
        <v>31</v>
      </c>
      <c r="D23" t="s">
        <v>413</v>
      </c>
      <c r="E23" s="59">
        <f>INDEX(DeployedCapacities!$D$73:$F$97, MATCH($C23, DeployedCapacities!$C$73:$C$97, 0), MATCH(E$11, DeployedCapacities!$D$71:$F$71, 0))</f>
        <v>0</v>
      </c>
      <c r="F23" s="46">
        <f>INDEX(DeployedCapacities!$D$73:$F$97, MATCH($C23, DeployedCapacities!$C$73:$C$97, 0), MATCH(F$11, DeployedCapacities!$D$71:$F$71, 0))</f>
        <v>1000</v>
      </c>
      <c r="G23" s="46">
        <f>INDEX(DeployedCapacities!$D$73:$F$97, MATCH($C23, DeployedCapacities!$C$73:$C$97, 0), MATCH(G$11, DeployedCapacities!$D$71:$F$71, 0))</f>
        <v>0</v>
      </c>
      <c r="H23" s="59">
        <f>SUMIFS(TechAssumptions!$J$16:$J$90, TechAssumptions!$C$16:$C$90, $C23, TechAssumptions!$D$16:$D$90, H$10)*1000</f>
        <v>892102.29357798165</v>
      </c>
      <c r="I23" s="46">
        <f>SUMIFS(TechAssumptions!$K$16:$K$90, TechAssumptions!$C$16:$C$90, $C23, TechAssumptions!$D$16:$D$90, I$10)*1000</f>
        <v>892102.29357798165</v>
      </c>
      <c r="J23" s="46">
        <f>SUMIFS(TechAssumptions!$L$16:$L$90, TechAssumptions!$C$16:$C$90, $C23, TechAssumptions!$D$16:$D$90, J$10)*1000</f>
        <v>892102.29357798165</v>
      </c>
      <c r="K23" s="46">
        <f>(SUMIFS(TechAssumptions!$J$16:$J$90, TechAssumptions!$C$16:$C$90, $C23, TechAssumptions!$D$16:$D$90, K$10))*1000</f>
        <v>22463.669724770643</v>
      </c>
      <c r="L23" s="13">
        <f>SUMIFS(TechAssumptions!$J$16:$J$90, TechAssumptions!$C$16:$C$90, $C23, TechAssumptions!$D$16:$D$90, L$10)</f>
        <v>2.4550458715596331</v>
      </c>
      <c r="M23" s="13">
        <f>INDEX(TechAssumptions!$G$16:$G$90, MATCH(C23, TechAssumptions!$C$16:$C$90, 0))</f>
        <v>25</v>
      </c>
      <c r="N23" s="14">
        <f>INDEX(TechAssumptions!$H$16:$H$90, MATCH(C23, TechAssumptions!$C$16:$C$90, 0))</f>
        <v>0.09</v>
      </c>
      <c r="O23" s="58">
        <f>SUMIFS(DispatchVols_HG!$I:$I, DispatchVols_HG!$E:$E, $C23, DispatchVols_HG!$C:$C, O$11)</f>
        <v>0</v>
      </c>
      <c r="P23" s="13">
        <f>SUMIFS(DispatchVols_HG!$I:$I, DispatchVols_HG!$E:$E, $C23, DispatchVols_HG!$C:$C, P$11)</f>
        <v>5817.74</v>
      </c>
      <c r="Q23" s="13">
        <f>SUMIFS(DispatchVols_HG!$I:$I, DispatchVols_HG!$E:$E, $C23, DispatchVols_HG!$C:$C, Q$11)</f>
        <v>0</v>
      </c>
      <c r="R23" s="58">
        <f t="shared" si="0"/>
        <v>0</v>
      </c>
      <c r="S23" s="13">
        <f t="shared" si="1"/>
        <v>892.10229357798164</v>
      </c>
      <c r="T23" s="13">
        <f t="shared" si="2"/>
        <v>0</v>
      </c>
      <c r="U23" s="84">
        <f t="shared" si="3"/>
        <v>0</v>
      </c>
      <c r="V23" s="46">
        <f t="shared" si="4"/>
        <v>90.821589588192509</v>
      </c>
      <c r="W23" s="79">
        <f t="shared" si="5"/>
        <v>0</v>
      </c>
      <c r="X23" s="84">
        <f t="shared" si="17"/>
        <v>0</v>
      </c>
      <c r="Y23" s="46">
        <f t="shared" si="6"/>
        <v>22.463669724770643</v>
      </c>
      <c r="Z23" s="79">
        <f t="shared" si="7"/>
        <v>0</v>
      </c>
      <c r="AA23" s="46">
        <f>($K23*INDEX(DeployedCapacities!$D$7:$D$31, MATCH($C23, DeployedCapacities!$C$7:$C$31, 0)))/10^6</f>
        <v>0</v>
      </c>
      <c r="AB23" s="46">
        <f t="shared" si="8"/>
        <v>0</v>
      </c>
      <c r="AC23" s="46">
        <f t="shared" si="9"/>
        <v>22.463669724770643</v>
      </c>
      <c r="AD23" s="46">
        <f t="shared" si="10"/>
        <v>0</v>
      </c>
      <c r="AE23" s="84">
        <f t="shared" si="11"/>
        <v>0</v>
      </c>
      <c r="AF23" s="46">
        <f t="shared" si="12"/>
        <v>14.282818568807341</v>
      </c>
      <c r="AG23" s="79">
        <f t="shared" si="13"/>
        <v>0</v>
      </c>
      <c r="AH23" s="84">
        <f t="shared" si="14"/>
        <v>0</v>
      </c>
      <c r="AI23" s="46">
        <f t="shared" si="15"/>
        <v>127.56807788177049</v>
      </c>
      <c r="AJ23" s="46">
        <f t="shared" si="16"/>
        <v>0</v>
      </c>
    </row>
    <row r="24" spans="3:36">
      <c r="C24" t="s">
        <v>32</v>
      </c>
      <c r="D24" t="s">
        <v>413</v>
      </c>
      <c r="E24" s="59">
        <f>INDEX(DeployedCapacities!$D$73:$F$97, MATCH($C24, DeployedCapacities!$C$73:$C$97, 0), MATCH(E$11, DeployedCapacities!$D$71:$F$71, 0))</f>
        <v>450</v>
      </c>
      <c r="F24" s="46">
        <f>INDEX(DeployedCapacities!$D$73:$F$97, MATCH($C24, DeployedCapacities!$C$73:$C$97, 0), MATCH(F$11, DeployedCapacities!$D$71:$F$71, 0))</f>
        <v>900</v>
      </c>
      <c r="G24" s="46">
        <f>INDEX(DeployedCapacities!$D$73:$F$97, MATCH($C24, DeployedCapacities!$C$73:$C$97, 0), MATCH(G$11, DeployedCapacities!$D$71:$F$71, 0))</f>
        <v>0</v>
      </c>
      <c r="H24" s="59">
        <f>SUMIFS(TechAssumptions!$J$16:$J$90, TechAssumptions!$C$16:$C$90, $C24, TechAssumptions!$D$16:$D$90, H$10)*1000</f>
        <v>1403341.8853974121</v>
      </c>
      <c r="I24" s="46">
        <f>SUMIFS(TechAssumptions!$K$16:$K$90, TechAssumptions!$C$16:$C$90, $C24, TechAssumptions!$D$16:$D$90, I$10)*1000</f>
        <v>1403341.8853974121</v>
      </c>
      <c r="J24" s="46">
        <f>SUMIFS(TechAssumptions!$L$16:$L$90, TechAssumptions!$C$16:$C$90, $C24, TechAssumptions!$D$16:$D$90, J$10)*1000</f>
        <v>1403341.8853974121</v>
      </c>
      <c r="K24" s="46">
        <f>(SUMIFS(TechAssumptions!$J$16:$J$90, TechAssumptions!$C$16:$C$90, $C24, TechAssumptions!$D$16:$D$90, K$10))*1000</f>
        <v>53977.541589648805</v>
      </c>
      <c r="L24" s="13">
        <f>SUMIFS(TechAssumptions!$J$16:$J$90, TechAssumptions!$C$16:$C$90, $C24, TechAssumptions!$D$16:$D$90, L$10)</f>
        <v>9.6454713493530519</v>
      </c>
      <c r="M24" s="13">
        <f>INDEX(TechAssumptions!$G$16:$G$90, MATCH(C24, TechAssumptions!$C$16:$C$90, 0))</f>
        <v>30</v>
      </c>
      <c r="N24" s="14">
        <f>INDEX(TechAssumptions!$H$16:$H$90, MATCH(C24, TechAssumptions!$C$16:$C$90, 0))</f>
        <v>0.1</v>
      </c>
      <c r="O24" s="58">
        <f>SUMIFS(DispatchVols_HG!$I:$I, DispatchVols_HG!$E:$E, $C24, DispatchVols_HG!$C:$C, O$11)</f>
        <v>3499.3</v>
      </c>
      <c r="P24" s="13">
        <f>SUMIFS(DispatchVols_HG!$I:$I, DispatchVols_HG!$E:$E, $C24, DispatchVols_HG!$C:$C, P$11)</f>
        <v>6802.81</v>
      </c>
      <c r="Q24" s="13">
        <f>SUMIFS(DispatchVols_HG!$I:$I, DispatchVols_HG!$E:$E, $C24, DispatchVols_HG!$C:$C, Q$11)</f>
        <v>0</v>
      </c>
      <c r="R24" s="58">
        <f t="shared" si="0"/>
        <v>631.50384842883557</v>
      </c>
      <c r="S24" s="13">
        <f t="shared" si="1"/>
        <v>1263.0076968576711</v>
      </c>
      <c r="T24" s="13">
        <f t="shared" si="2"/>
        <v>0</v>
      </c>
      <c r="U24" s="84">
        <f t="shared" si="3"/>
        <v>66.989453509976144</v>
      </c>
      <c r="V24" s="46">
        <f t="shared" si="4"/>
        <v>133.97890701995229</v>
      </c>
      <c r="W24" s="79">
        <f t="shared" si="5"/>
        <v>0</v>
      </c>
      <c r="X24" s="84">
        <f t="shared" si="17"/>
        <v>24.289893715341965</v>
      </c>
      <c r="Y24" s="46">
        <f t="shared" si="6"/>
        <v>48.579787430683929</v>
      </c>
      <c r="Z24" s="79">
        <f t="shared" si="7"/>
        <v>0</v>
      </c>
      <c r="AA24" s="46">
        <f>($K24*INDEX(DeployedCapacities!$D$7:$D$31, MATCH($C24, DeployedCapacities!$C$7:$C$31, 0)))/10^6</f>
        <v>0</v>
      </c>
      <c r="AB24" s="46">
        <f t="shared" si="8"/>
        <v>24.289893715341965</v>
      </c>
      <c r="AC24" s="46">
        <f t="shared" si="9"/>
        <v>48.579787430683929</v>
      </c>
      <c r="AD24" s="46">
        <f t="shared" si="10"/>
        <v>0</v>
      </c>
      <c r="AE24" s="84">
        <f t="shared" si="11"/>
        <v>33.752397892791137</v>
      </c>
      <c r="AF24" s="46">
        <f t="shared" si="12"/>
        <v>65.616308950092446</v>
      </c>
      <c r="AG24" s="79">
        <f t="shared" si="13"/>
        <v>0</v>
      </c>
      <c r="AH24" s="84">
        <f t="shared" si="14"/>
        <v>125.03174511810924</v>
      </c>
      <c r="AI24" s="46">
        <f t="shared" si="15"/>
        <v>248.17500340072866</v>
      </c>
      <c r="AJ24" s="46">
        <f t="shared" si="16"/>
        <v>0</v>
      </c>
    </row>
    <row r="25" spans="3:36">
      <c r="C25" t="s">
        <v>33</v>
      </c>
      <c r="D25" t="s">
        <v>413</v>
      </c>
      <c r="E25" s="59">
        <f>INDEX(DeployedCapacities!$D$73:$F$97, MATCH($C25, DeployedCapacities!$C$73:$C$97, 0), MATCH(E$11, DeployedCapacities!$D$71:$F$71, 0))</f>
        <v>0</v>
      </c>
      <c r="F25" s="46">
        <f>INDEX(DeployedCapacities!$D$73:$F$97, MATCH($C25, DeployedCapacities!$C$73:$C$97, 0), MATCH(F$11, DeployedCapacities!$D$71:$F$71, 0))</f>
        <v>1410</v>
      </c>
      <c r="G25" s="46">
        <f>INDEX(DeployedCapacities!$D$73:$F$97, MATCH($C25, DeployedCapacities!$C$73:$C$97, 0), MATCH(G$11, DeployedCapacities!$D$71:$F$71, 0))</f>
        <v>0</v>
      </c>
      <c r="H25" s="59">
        <f>SUMIFS(TechAssumptions!$J$16:$J$90, TechAssumptions!$C$16:$C$90, $C25, TechAssumptions!$D$16:$D$90, H$10)*1000</f>
        <v>2791798.0427326225</v>
      </c>
      <c r="I25" s="46">
        <f>SUMIFS(TechAssumptions!$K$16:$K$90, TechAssumptions!$C$16:$C$90, $C25, TechAssumptions!$D$16:$D$90, I$10)*1000</f>
        <v>2791798.0427326225</v>
      </c>
      <c r="J25" s="46">
        <f>SUMIFS(TechAssumptions!$L$16:$L$90, TechAssumptions!$C$16:$C$90, $C25, TechAssumptions!$D$16:$D$90, J$10)*1000</f>
        <v>2791798.0427326225</v>
      </c>
      <c r="K25" s="46">
        <f>(SUMIFS(TechAssumptions!$J$16:$J$90, TechAssumptions!$C$16:$C$90, $C25, TechAssumptions!$D$16:$D$90, K$10))*1000</f>
        <v>42989.818722352698</v>
      </c>
      <c r="L25" s="13">
        <f>SUMIFS(TechAssumptions!$J$16:$J$90, TechAssumptions!$C$16:$C$90, $C25, TechAssumptions!$D$16:$D$90, L$10)</f>
        <v>4.0545454545454547</v>
      </c>
      <c r="M25" s="13">
        <f>INDEX(TechAssumptions!$G$16:$G$90, MATCH(C25, TechAssumptions!$C$16:$C$90, 0))</f>
        <v>25</v>
      </c>
      <c r="N25" s="14">
        <f>INDEX(TechAssumptions!$H$16:$H$90, MATCH(C25, TechAssumptions!$C$16:$C$90, 0))</f>
        <v>0.09</v>
      </c>
      <c r="O25" s="58">
        <f>SUMIFS(DispatchVols_HG!$I:$I, DispatchVols_HG!$E:$E, $C25, DispatchVols_HG!$C:$C, O$11)</f>
        <v>0</v>
      </c>
      <c r="P25" s="13">
        <f>SUMIFS(DispatchVols_HG!$I:$I, DispatchVols_HG!$E:$E, $C25, DispatchVols_HG!$C:$C, P$11)</f>
        <v>1468.6</v>
      </c>
      <c r="Q25" s="13">
        <f>SUMIFS(DispatchVols_HG!$I:$I, DispatchVols_HG!$E:$E, $C25, DispatchVols_HG!$C:$C, Q$11)</f>
        <v>0</v>
      </c>
      <c r="R25" s="58">
        <f t="shared" si="0"/>
        <v>0</v>
      </c>
      <c r="S25" s="13">
        <f t="shared" si="1"/>
        <v>3936.435240252998</v>
      </c>
      <c r="T25" s="13">
        <f t="shared" si="2"/>
        <v>0</v>
      </c>
      <c r="U25" s="84">
        <f t="shared" si="3"/>
        <v>0</v>
      </c>
      <c r="V25" s="46">
        <f t="shared" si="4"/>
        <v>400.75371221933119</v>
      </c>
      <c r="W25" s="79">
        <f t="shared" si="5"/>
        <v>0</v>
      </c>
      <c r="X25" s="84">
        <f t="shared" si="17"/>
        <v>0</v>
      </c>
      <c r="Y25" s="46">
        <f t="shared" si="6"/>
        <v>60.615644398517304</v>
      </c>
      <c r="Z25" s="79">
        <f t="shared" si="7"/>
        <v>0</v>
      </c>
      <c r="AA25" s="46">
        <f>($K25*INDEX(DeployedCapacities!$D$7:$D$31, MATCH($C25, DeployedCapacities!$C$7:$C$31, 0)))/10^6</f>
        <v>0</v>
      </c>
      <c r="AB25" s="46">
        <f t="shared" si="8"/>
        <v>0</v>
      </c>
      <c r="AC25" s="46">
        <f t="shared" si="9"/>
        <v>60.615644398517304</v>
      </c>
      <c r="AD25" s="46">
        <f t="shared" si="10"/>
        <v>0</v>
      </c>
      <c r="AE25" s="84">
        <f t="shared" si="11"/>
        <v>0</v>
      </c>
      <c r="AF25" s="46">
        <f t="shared" si="12"/>
        <v>5.9545054545454539</v>
      </c>
      <c r="AG25" s="79">
        <f t="shared" si="13"/>
        <v>0</v>
      </c>
      <c r="AH25" s="84">
        <f t="shared" si="14"/>
        <v>0</v>
      </c>
      <c r="AI25" s="46">
        <f t="shared" si="15"/>
        <v>467.32386207239392</v>
      </c>
      <c r="AJ25" s="46">
        <f t="shared" si="16"/>
        <v>0</v>
      </c>
    </row>
    <row r="26" spans="3:36">
      <c r="C26" t="s">
        <v>34</v>
      </c>
      <c r="D26" t="s">
        <v>410</v>
      </c>
      <c r="E26" s="59">
        <f>INDEX(DeployedCapacities!$D$73:$F$97, MATCH($C26, DeployedCapacities!$C$73:$C$97, 0), MATCH(E$11, DeployedCapacities!$D$71:$F$71, 0))</f>
        <v>1688.5000000000009</v>
      </c>
      <c r="F26" s="46">
        <f>INDEX(DeployedCapacities!$D$73:$F$97, MATCH($C26, DeployedCapacities!$C$73:$C$97, 0), MATCH(F$11, DeployedCapacities!$D$71:$F$71, 0))</f>
        <v>1688.5000000000009</v>
      </c>
      <c r="G26" s="46">
        <f>INDEX(DeployedCapacities!$D$73:$F$97, MATCH($C26, DeployedCapacities!$C$73:$C$97, 0), MATCH(G$11, DeployedCapacities!$D$71:$F$71, 0))</f>
        <v>3836.7900000000009</v>
      </c>
      <c r="H26" s="59">
        <f>SUMIFS(TechAssumptions!$J$16:$J$90, TechAssumptions!$C$16:$C$90, $C26, TechAssumptions!$D$16:$D$90, H$10)*1000</f>
        <v>619899.08256880729</v>
      </c>
      <c r="I26" s="46">
        <f>SUMIFS(TechAssumptions!$K$16:$K$90, TechAssumptions!$C$16:$C$90, $C26, TechAssumptions!$D$16:$D$90, I$10)*1000</f>
        <v>619899.08256880729</v>
      </c>
      <c r="J26" s="46">
        <f>SUMIFS(TechAssumptions!$L$16:$L$90, TechAssumptions!$C$16:$C$90, $C26, TechAssumptions!$D$16:$D$90, J$10)*1000</f>
        <v>619899.08256880729</v>
      </c>
      <c r="K26" s="46">
        <f>(SUMIFS(TechAssumptions!$J$16:$J$90, TechAssumptions!$C$16:$C$90, $C26, TechAssumptions!$D$16:$D$90, K$10))*1000</f>
        <v>15344.036697247706</v>
      </c>
      <c r="L26" s="13">
        <f>SUMIFS(TechAssumptions!$J$16:$J$90, TechAssumptions!$C$16:$C$90, $C26, TechAssumptions!$D$16:$D$90, L$10)</f>
        <v>0</v>
      </c>
      <c r="M26" s="13">
        <f>INDEX(TechAssumptions!$G$16:$G$90, MATCH(C26, TechAssumptions!$C$16:$C$90, 0))</f>
        <v>15</v>
      </c>
      <c r="N26" s="14">
        <f>INDEX(TechAssumptions!$H$16:$H$90, MATCH(C26, TechAssumptions!$C$16:$C$90, 0))</f>
        <v>7.0999999999999994E-2</v>
      </c>
      <c r="O26" s="58">
        <f>SUMIFS(DispatchVols_HG!$I:$I, DispatchVols_HG!$E:$E, $C26, DispatchVols_HG!$C:$C, O$11)</f>
        <v>0</v>
      </c>
      <c r="P26" s="13">
        <f>SUMIFS(DispatchVols_HG!$I:$I, DispatchVols_HG!$E:$E, $C26, DispatchVols_HG!$C:$C, P$11)</f>
        <v>0</v>
      </c>
      <c r="Q26" s="13">
        <f>SUMIFS(DispatchVols_HG!$I:$I, DispatchVols_HG!$E:$E, $C26, DispatchVols_HG!$C:$C, Q$11)</f>
        <v>107.62</v>
      </c>
      <c r="R26" s="58">
        <f t="shared" si="0"/>
        <v>1046.6996009174318</v>
      </c>
      <c r="S26" s="13">
        <f t="shared" si="1"/>
        <v>1046.6996009174318</v>
      </c>
      <c r="T26" s="13">
        <f t="shared" si="2"/>
        <v>2378.4226010091747</v>
      </c>
      <c r="U26" s="84">
        <f t="shared" si="3"/>
        <v>115.64891727325939</v>
      </c>
      <c r="V26" s="46">
        <f t="shared" si="4"/>
        <v>115.64891727325939</v>
      </c>
      <c r="W26" s="79">
        <f t="shared" si="5"/>
        <v>262.78981895461578</v>
      </c>
      <c r="X26" s="84">
        <f t="shared" si="17"/>
        <v>25.908405963302766</v>
      </c>
      <c r="Y26" s="46">
        <f t="shared" si="6"/>
        <v>25.908405963302766</v>
      </c>
      <c r="Z26" s="79">
        <f t="shared" si="7"/>
        <v>58.871846559633042</v>
      </c>
      <c r="AA26" s="46">
        <f>($K26*INDEX(DeployedCapacities!$D$7:$D$31, MATCH($C26, DeployedCapacities!$C$7:$C$31, 0)))/10^6</f>
        <v>36.221133027522932</v>
      </c>
      <c r="AB26" s="46">
        <f t="shared" si="8"/>
        <v>62.129538990825694</v>
      </c>
      <c r="AC26" s="46">
        <f t="shared" si="9"/>
        <v>62.129538990825694</v>
      </c>
      <c r="AD26" s="46">
        <f t="shared" si="10"/>
        <v>95.09297958715598</v>
      </c>
      <c r="AE26" s="84">
        <f t="shared" si="11"/>
        <v>0</v>
      </c>
      <c r="AF26" s="46">
        <f t="shared" si="12"/>
        <v>0</v>
      </c>
      <c r="AG26" s="79">
        <f t="shared" si="13"/>
        <v>0</v>
      </c>
      <c r="AH26" s="84">
        <f t="shared" si="14"/>
        <v>177.77845626408509</v>
      </c>
      <c r="AI26" s="46">
        <f t="shared" si="15"/>
        <v>177.77845626408509</v>
      </c>
      <c r="AJ26" s="46">
        <f t="shared" si="16"/>
        <v>357.88279854177176</v>
      </c>
    </row>
    <row r="27" spans="3:36">
      <c r="C27" t="s">
        <v>35</v>
      </c>
      <c r="D27" t="s">
        <v>410</v>
      </c>
      <c r="E27" s="59">
        <f>INDEX(DeployedCapacities!$D$73:$F$97, MATCH($C27, DeployedCapacities!$C$73:$C$97, 0), MATCH(E$11, DeployedCapacities!$D$71:$F$71, 0))</f>
        <v>1882.9999999999995</v>
      </c>
      <c r="F27" s="46">
        <f>INDEX(DeployedCapacities!$D$73:$F$97, MATCH($C27, DeployedCapacities!$C$73:$C$97, 0), MATCH(F$11, DeployedCapacities!$D$71:$F$71, 0))</f>
        <v>1882.9999999999995</v>
      </c>
      <c r="G27" s="46">
        <f>INDEX(DeployedCapacities!$D$73:$F$97, MATCH($C27, DeployedCapacities!$C$73:$C$97, 0), MATCH(G$11, DeployedCapacities!$D$71:$F$71, 0))</f>
        <v>1519</v>
      </c>
      <c r="H27" s="59">
        <f>SUMIFS(TechAssumptions!$J$16:$J$90, TechAssumptions!$C$16:$C$90, $C27, TechAssumptions!$D$16:$D$90, H$10)*1000</f>
        <v>426779.44887908408</v>
      </c>
      <c r="I27" s="46">
        <f>SUMIFS(TechAssumptions!$K$16:$K$90, TechAssumptions!$C$16:$C$90, $C27, TechAssumptions!$D$16:$D$90, I$10)*1000</f>
        <v>426779.44887908408</v>
      </c>
      <c r="J27" s="46">
        <f>SUMIFS(TechAssumptions!$L$16:$L$90, TechAssumptions!$C$16:$C$90, $C27, TechAssumptions!$D$16:$D$90, J$10)*1000</f>
        <v>426779.44887908408</v>
      </c>
      <c r="K27" s="46">
        <f>(SUMIFS(TechAssumptions!$J$16:$J$90, TechAssumptions!$C$16:$C$90, $C27, TechAssumptions!$D$16:$D$90, K$10))*1000</f>
        <v>7978.899082568807</v>
      </c>
      <c r="L27" s="13">
        <f>SUMIFS(TechAssumptions!$J$16:$J$90, TechAssumptions!$C$16:$C$90, $C27, TechAssumptions!$D$16:$D$90, L$10)</f>
        <v>1.2275229357798165</v>
      </c>
      <c r="M27" s="13">
        <f>INDEX(TechAssumptions!$G$16:$G$90, MATCH(C27, TechAssumptions!$C$16:$C$90, 0))</f>
        <v>25</v>
      </c>
      <c r="N27" s="14">
        <f>INDEX(TechAssumptions!$H$16:$H$90, MATCH(C27, TechAssumptions!$C$16:$C$90, 0))</f>
        <v>7.0999999999999994E-2</v>
      </c>
      <c r="O27" s="58">
        <f>SUMIFS(DispatchVols_HG!$I:$I, DispatchVols_HG!$E:$E, $C27, DispatchVols_HG!$C:$C, O$11)</f>
        <v>98.17</v>
      </c>
      <c r="P27" s="13">
        <f>SUMIFS(DispatchVols_HG!$I:$I, DispatchVols_HG!$E:$E, $C27, DispatchVols_HG!$C:$C, P$11)</f>
        <v>113.52</v>
      </c>
      <c r="Q27" s="13">
        <f>SUMIFS(DispatchVols_HG!$I:$I, DispatchVols_HG!$E:$E, $C27, DispatchVols_HG!$C:$C, Q$11)</f>
        <v>617.87</v>
      </c>
      <c r="R27" s="58">
        <f t="shared" si="0"/>
        <v>803.62570223931516</v>
      </c>
      <c r="S27" s="13">
        <f t="shared" si="1"/>
        <v>803.62570223931516</v>
      </c>
      <c r="T27" s="13">
        <f t="shared" si="2"/>
        <v>648.27798284732876</v>
      </c>
      <c r="U27" s="84">
        <f t="shared" si="3"/>
        <v>69.581899209199292</v>
      </c>
      <c r="V27" s="46">
        <f t="shared" si="4"/>
        <v>69.581899209199292</v>
      </c>
      <c r="W27" s="79">
        <f t="shared" si="5"/>
        <v>56.131123153889419</v>
      </c>
      <c r="X27" s="84">
        <f t="shared" si="17"/>
        <v>15.02426697247706</v>
      </c>
      <c r="Y27" s="46">
        <f t="shared" si="6"/>
        <v>15.02426697247706</v>
      </c>
      <c r="Z27" s="79">
        <f t="shared" si="7"/>
        <v>12.119947706422018</v>
      </c>
      <c r="AA27" s="46">
        <f>($K27*INDEX(DeployedCapacities!$D$7:$D$31, MATCH($C27, DeployedCapacities!$C$7:$C$31, 0)))/10^6</f>
        <v>17.185670944954126</v>
      </c>
      <c r="AB27" s="46">
        <f t="shared" si="8"/>
        <v>32.209937917431184</v>
      </c>
      <c r="AC27" s="46">
        <f t="shared" si="9"/>
        <v>32.209937917431184</v>
      </c>
      <c r="AD27" s="46">
        <f t="shared" si="10"/>
        <v>29.305618651376143</v>
      </c>
      <c r="AE27" s="84">
        <f t="shared" si="11"/>
        <v>0.1205059266055046</v>
      </c>
      <c r="AF27" s="46">
        <f t="shared" si="12"/>
        <v>0.13934840366972479</v>
      </c>
      <c r="AG27" s="79">
        <f t="shared" si="13"/>
        <v>0.75844959633027531</v>
      </c>
      <c r="AH27" s="84">
        <f t="shared" si="14"/>
        <v>101.91234305323599</v>
      </c>
      <c r="AI27" s="46">
        <f t="shared" si="15"/>
        <v>101.93118553030021</v>
      </c>
      <c r="AJ27" s="46">
        <f t="shared" si="16"/>
        <v>86.195191401595849</v>
      </c>
    </row>
    <row r="28" spans="3:36">
      <c r="C28" t="s">
        <v>36</v>
      </c>
      <c r="D28" t="s">
        <v>410</v>
      </c>
      <c r="E28" s="59">
        <f>INDEX(DeployedCapacities!$D$73:$F$97, MATCH($C28, DeployedCapacities!$C$73:$C$97, 0), MATCH(E$11, DeployedCapacities!$D$71:$F$71, 0))</f>
        <v>0</v>
      </c>
      <c r="F28" s="46">
        <f>INDEX(DeployedCapacities!$D$73:$F$97, MATCH($C28, DeployedCapacities!$C$73:$C$97, 0), MATCH(F$11, DeployedCapacities!$D$71:$F$71, 0))</f>
        <v>0</v>
      </c>
      <c r="G28" s="46">
        <f>INDEX(DeployedCapacities!$D$73:$F$97, MATCH($C28, DeployedCapacities!$C$73:$C$97, 0), MATCH(G$11, DeployedCapacities!$D$71:$F$71, 0))</f>
        <v>0</v>
      </c>
      <c r="H28" s="59">
        <f>SUMIFS(TechAssumptions!$J$16:$J$90, TechAssumptions!$C$16:$C$90, $C28, TechAssumptions!$D$16:$D$90, H$10)*1000</f>
        <v>426779.44887908408</v>
      </c>
      <c r="I28" s="46">
        <f>SUMIFS(TechAssumptions!$K$16:$K$90, TechAssumptions!$C$16:$C$90, $C28, TechAssumptions!$D$16:$D$90, I$10)*1000</f>
        <v>426779.44887908408</v>
      </c>
      <c r="J28" s="46">
        <f>SUMIFS(TechAssumptions!$L$16:$L$90, TechAssumptions!$C$16:$C$90, $C28, TechAssumptions!$D$16:$D$90, J$10)*1000</f>
        <v>426779.44887908408</v>
      </c>
      <c r="K28" s="46">
        <f>(SUMIFS(TechAssumptions!$J$16:$J$90, TechAssumptions!$C$16:$C$90, $C28, TechAssumptions!$D$16:$D$90, K$10))*1000</f>
        <v>7978.899082568807</v>
      </c>
      <c r="L28" s="13">
        <f>SUMIFS(TechAssumptions!$J$16:$J$90, TechAssumptions!$C$16:$C$90, $C28, TechAssumptions!$D$16:$D$90, L$10)</f>
        <v>1.2275229357798165</v>
      </c>
      <c r="M28" s="13">
        <f>INDEX(TechAssumptions!$G$16:$G$90, MATCH(C28, TechAssumptions!$C$16:$C$90, 0))</f>
        <v>25</v>
      </c>
      <c r="N28" s="14">
        <f>INDEX(TechAssumptions!$H$16:$H$90, MATCH(C28, TechAssumptions!$C$16:$C$90, 0))</f>
        <v>7.0999999999999994E-2</v>
      </c>
      <c r="O28" s="58">
        <f>SUMIFS(DispatchVols_HG!$I:$I, DispatchVols_HG!$E:$E, $C28, DispatchVols_HG!$C:$C, O$11)</f>
        <v>11097.59</v>
      </c>
      <c r="P28" s="13">
        <f>SUMIFS(DispatchVols_HG!$I:$I, DispatchVols_HG!$E:$E, $C28, DispatchVols_HG!$C:$C, P$11)</f>
        <v>11097.59</v>
      </c>
      <c r="Q28" s="13">
        <f>SUMIFS(DispatchVols_HG!$I:$I, DispatchVols_HG!$E:$E, $C28, DispatchVols_HG!$C:$C, Q$11)</f>
        <v>11143.84</v>
      </c>
      <c r="R28" s="58">
        <f t="shared" si="0"/>
        <v>0</v>
      </c>
      <c r="S28" s="13">
        <f t="shared" si="1"/>
        <v>0</v>
      </c>
      <c r="T28" s="13">
        <f t="shared" si="2"/>
        <v>0</v>
      </c>
      <c r="U28" s="84">
        <f t="shared" si="3"/>
        <v>0</v>
      </c>
      <c r="V28" s="46">
        <f t="shared" si="4"/>
        <v>0</v>
      </c>
      <c r="W28" s="79">
        <f t="shared" si="5"/>
        <v>0</v>
      </c>
      <c r="X28" s="84">
        <f t="shared" si="17"/>
        <v>0</v>
      </c>
      <c r="Y28" s="46">
        <f t="shared" si="6"/>
        <v>0</v>
      </c>
      <c r="Z28" s="79">
        <f t="shared" si="7"/>
        <v>0</v>
      </c>
      <c r="AA28" s="46">
        <f>($K28*INDEX(DeployedCapacities!$D$7:$D$31, MATCH($C28, DeployedCapacities!$C$7:$C$31, 0)))/10^6</f>
        <v>18.341733633027523</v>
      </c>
      <c r="AB28" s="46">
        <f t="shared" si="8"/>
        <v>18.341733633027523</v>
      </c>
      <c r="AC28" s="46">
        <f t="shared" si="9"/>
        <v>18.341733633027523</v>
      </c>
      <c r="AD28" s="46">
        <f t="shared" si="10"/>
        <v>18.341733633027523</v>
      </c>
      <c r="AE28" s="84">
        <f t="shared" si="11"/>
        <v>13.622546256880735</v>
      </c>
      <c r="AF28" s="46">
        <f t="shared" si="12"/>
        <v>13.622546256880735</v>
      </c>
      <c r="AG28" s="79">
        <f t="shared" si="13"/>
        <v>13.679319192660552</v>
      </c>
      <c r="AH28" s="84">
        <f t="shared" si="14"/>
        <v>31.964279889908259</v>
      </c>
      <c r="AI28" s="46">
        <f t="shared" si="15"/>
        <v>31.964279889908259</v>
      </c>
      <c r="AJ28" s="46">
        <f t="shared" si="16"/>
        <v>32.021052825688074</v>
      </c>
    </row>
    <row r="29" spans="3:36">
      <c r="C29" t="s">
        <v>37</v>
      </c>
      <c r="D29" t="s">
        <v>412</v>
      </c>
      <c r="E29" s="59">
        <f>INDEX(DeployedCapacities!$D$73:$F$97, MATCH($C29, DeployedCapacities!$C$73:$C$97, 0), MATCH(E$11, DeployedCapacities!$D$71:$F$71, 0))</f>
        <v>34946.490000000005</v>
      </c>
      <c r="F29" s="46">
        <f>INDEX(DeployedCapacities!$D$73:$F$97, MATCH($C29, DeployedCapacities!$C$73:$C$97, 0), MATCH(F$11, DeployedCapacities!$D$71:$F$71, 0))</f>
        <v>27416.489999999998</v>
      </c>
      <c r="G29" s="46">
        <f>INDEX(DeployedCapacities!$D$73:$F$97, MATCH($C29, DeployedCapacities!$C$73:$C$97, 0), MATCH(G$11, DeployedCapacities!$D$71:$F$71, 0))</f>
        <v>12877.999999999998</v>
      </c>
      <c r="H29" s="59">
        <f>SUMIFS(TechAssumptions!$J$16:$J$90, TechAssumptions!$C$16:$C$90, $C29, TechAssumptions!$D$16:$D$90, H$10)*1000</f>
        <v>2722154.8623853214</v>
      </c>
      <c r="I29" s="46">
        <f>SUMIFS(TechAssumptions!$K$16:$K$90, TechAssumptions!$C$16:$C$90, $C29, TechAssumptions!$D$16:$D$90, I$10)*1000</f>
        <v>2387488.712450326</v>
      </c>
      <c r="J29" s="46">
        <f>SUMIFS(TechAssumptions!$L$16:$L$90, TechAssumptions!$C$16:$C$90, $C29, TechAssumptions!$D$16:$D$90, J$10)*1000</f>
        <v>3541227.3695233944</v>
      </c>
      <c r="K29" s="46">
        <f>(SUMIFS(TechAssumptions!$J$16:$J$90, TechAssumptions!$C$16:$C$90, $C29, TechAssumptions!$D$16:$D$90, K$10))*1000</f>
        <v>56834.3119266055</v>
      </c>
      <c r="L29" s="13">
        <f>SUMIFS(TechAssumptions!$J$16:$J$90, TechAssumptions!$C$16:$C$90, $C29, TechAssumptions!$D$16:$D$90, L$10)</f>
        <v>1.2275229357798165</v>
      </c>
      <c r="M29" s="13">
        <f>INDEX(TechAssumptions!$G$16:$G$90, MATCH(C29, TechAssumptions!$C$16:$C$90, 0))</f>
        <v>30</v>
      </c>
      <c r="N29" s="14">
        <f>INDEX(TechAssumptions!$H$16:$H$90, MATCH(C29, TechAssumptions!$C$16:$C$90, 0))</f>
        <v>6.3E-2</v>
      </c>
      <c r="O29" s="58">
        <f>SUMIFS(DispatchVols_HG!$I:$I, DispatchVols_HG!$E:$E, $C29, DispatchVols_HG!$C:$C, O$11)</f>
        <v>157404.84</v>
      </c>
      <c r="P29" s="13">
        <f>SUMIFS(DispatchVols_HG!$I:$I, DispatchVols_HG!$E:$E, $C29, DispatchVols_HG!$C:$C, P$11)</f>
        <v>147100.29999999999</v>
      </c>
      <c r="Q29" s="13">
        <f>SUMIFS(DispatchVols_HG!$I:$I, DispatchVols_HG!$E:$E, $C29, DispatchVols_HG!$C:$C, Q$11)</f>
        <v>109652.36</v>
      </c>
      <c r="R29" s="58">
        <f t="shared" si="0"/>
        <v>95129.757676800014</v>
      </c>
      <c r="S29" s="13">
        <f t="shared" si="1"/>
        <v>74631.931563038524</v>
      </c>
      <c r="T29" s="13">
        <f t="shared" si="2"/>
        <v>35055.910317798167</v>
      </c>
      <c r="U29" s="84">
        <f t="shared" si="3"/>
        <v>7134.3629042006178</v>
      </c>
      <c r="V29" s="46">
        <f t="shared" si="4"/>
        <v>5597.1054380393325</v>
      </c>
      <c r="W29" s="79">
        <f t="shared" si="5"/>
        <v>2629.0573239342643</v>
      </c>
      <c r="X29" s="84">
        <f t="shared" si="17"/>
        <v>1986.1597134000001</v>
      </c>
      <c r="Y29" s="46">
        <f t="shared" si="6"/>
        <v>1558.1973445926603</v>
      </c>
      <c r="Z29" s="79">
        <f t="shared" si="7"/>
        <v>731.91226899082551</v>
      </c>
      <c r="AA29" s="46">
        <f>($K29*INDEX(DeployedCapacities!$D$7:$D$31, MATCH($C29, DeployedCapacities!$C$7:$C$31, 0)))/10^6</f>
        <v>892.44646645871558</v>
      </c>
      <c r="AB29" s="46">
        <f t="shared" si="8"/>
        <v>2878.6061798587157</v>
      </c>
      <c r="AC29" s="46">
        <f t="shared" si="9"/>
        <v>2450.6438110513759</v>
      </c>
      <c r="AD29" s="46">
        <f t="shared" si="10"/>
        <v>1624.3587354495412</v>
      </c>
      <c r="AE29" s="84">
        <f t="shared" si="11"/>
        <v>193.21805130275231</v>
      </c>
      <c r="AF29" s="46">
        <f t="shared" si="12"/>
        <v>180.56899211009176</v>
      </c>
      <c r="AG29" s="79">
        <f t="shared" si="13"/>
        <v>134.60078686238532</v>
      </c>
      <c r="AH29" s="84">
        <f t="shared" si="14"/>
        <v>10206.187135362086</v>
      </c>
      <c r="AI29" s="46">
        <f t="shared" si="15"/>
        <v>8228.3182412008009</v>
      </c>
      <c r="AJ29" s="46">
        <f t="shared" si="16"/>
        <v>4388.0168462461907</v>
      </c>
    </row>
    <row r="30" spans="3:36">
      <c r="C30" t="s">
        <v>38</v>
      </c>
      <c r="D30" t="s">
        <v>412</v>
      </c>
      <c r="E30" s="59">
        <f>INDEX(DeployedCapacities!$D$73:$F$97, MATCH($C30, DeployedCapacities!$C$73:$C$97, 0), MATCH(E$11, DeployedCapacities!$D$71:$F$71, 0))</f>
        <v>13662.150000000003</v>
      </c>
      <c r="F30" s="46">
        <f>INDEX(DeployedCapacities!$D$73:$F$97, MATCH($C30, DeployedCapacities!$C$73:$C$97, 0), MATCH(F$11, DeployedCapacities!$D$71:$F$71, 0))</f>
        <v>13664.290000000003</v>
      </c>
      <c r="G30" s="46">
        <f>INDEX(DeployedCapacities!$D$73:$F$97, MATCH($C30, DeployedCapacities!$C$73:$C$97, 0), MATCH(G$11, DeployedCapacities!$D$71:$F$71, 0))</f>
        <v>6660.7600000000039</v>
      </c>
      <c r="H30" s="59">
        <f>SUMIFS(TechAssumptions!$J$16:$J$90, TechAssumptions!$C$16:$C$90, $C30, TechAssumptions!$D$16:$D$90, H$10)*1000</f>
        <v>2004930.2001180323</v>
      </c>
      <c r="I30" s="46">
        <f>SUMIFS(TechAssumptions!$K$16:$K$90, TechAssumptions!$C$16:$C$90, $C30, TechAssumptions!$D$16:$D$90, I$10)*1000</f>
        <v>1664476.5749017978</v>
      </c>
      <c r="J30" s="46">
        <f>SUMIFS(TechAssumptions!$L$16:$L$90, TechAssumptions!$C$16:$C$90, $C30, TechAssumptions!$D$16:$D$90, J$10)*1000</f>
        <v>2185646.3409678461</v>
      </c>
      <c r="K30" s="46">
        <f>(SUMIFS(TechAssumptions!$J$16:$J$90, TechAssumptions!$C$16:$C$90, $C30, TechAssumptions!$D$16:$D$90, K$10))*1000</f>
        <v>33265.871559633029</v>
      </c>
      <c r="L30" s="13">
        <f>SUMIFS(TechAssumptions!$J$16:$J$90, TechAssumptions!$C$16:$C$90, $C30, TechAssumptions!$D$16:$D$90, L$10)</f>
        <v>7.3651376146788987</v>
      </c>
      <c r="M30" s="13">
        <f>INDEX(TechAssumptions!$G$16:$G$90, MATCH(C30, TechAssumptions!$C$16:$C$90, 0))</f>
        <v>25</v>
      </c>
      <c r="N30" s="14">
        <f>INDEX(TechAssumptions!$H$16:$H$90, MATCH(C30, TechAssumptions!$C$16:$C$90, 0))</f>
        <v>5.1999999999999998E-2</v>
      </c>
      <c r="O30" s="58">
        <f>SUMIFS(DispatchVols_HG!$I:$I, DispatchVols_HG!$E:$E, $C30, DispatchVols_HG!$C:$C, O$11)</f>
        <v>56430.76</v>
      </c>
      <c r="P30" s="13">
        <f>SUMIFS(DispatchVols_HG!$I:$I, DispatchVols_HG!$E:$E, $C30, DispatchVols_HG!$C:$C, P$11)</f>
        <v>53887.09</v>
      </c>
      <c r="Q30" s="13">
        <f>SUMIFS(DispatchVols_HG!$I:$I, DispatchVols_HG!$E:$E, $C30, DispatchVols_HG!$C:$C, Q$11)</f>
        <v>50236.92</v>
      </c>
      <c r="R30" s="58">
        <f t="shared" si="0"/>
        <v>27391.65713354258</v>
      </c>
      <c r="S30" s="13">
        <f t="shared" si="1"/>
        <v>27395.947684170835</v>
      </c>
      <c r="T30" s="13">
        <f t="shared" si="2"/>
        <v>13354.358879738191</v>
      </c>
      <c r="U30" s="84">
        <f t="shared" si="3"/>
        <v>1982.6455452859022</v>
      </c>
      <c r="V30" s="46">
        <f t="shared" si="4"/>
        <v>1982.9561011989113</v>
      </c>
      <c r="W30" s="79">
        <f t="shared" si="5"/>
        <v>966.60673043543875</v>
      </c>
      <c r="X30" s="84">
        <f t="shared" si="17"/>
        <v>454.48332712844052</v>
      </c>
      <c r="Y30" s="46">
        <f t="shared" si="6"/>
        <v>454.55451609357812</v>
      </c>
      <c r="Z30" s="79">
        <f t="shared" si="7"/>
        <v>221.57598664954145</v>
      </c>
      <c r="AA30" s="46">
        <f>($K30*INDEX(DeployedCapacities!$D$7:$D$31, MATCH($C30, DeployedCapacities!$C$7:$C$31, 0)))/10^6</f>
        <v>454.55252014128433</v>
      </c>
      <c r="AB30" s="46">
        <f t="shared" si="8"/>
        <v>909.03584726972485</v>
      </c>
      <c r="AC30" s="46">
        <f t="shared" si="9"/>
        <v>909.10703623486245</v>
      </c>
      <c r="AD30" s="46">
        <f t="shared" si="10"/>
        <v>676.12850679082578</v>
      </c>
      <c r="AE30" s="84">
        <f t="shared" si="11"/>
        <v>415.62031310091749</v>
      </c>
      <c r="AF30" s="46">
        <f t="shared" si="12"/>
        <v>396.88583350458714</v>
      </c>
      <c r="AG30" s="79">
        <f t="shared" si="13"/>
        <v>370.00182913761466</v>
      </c>
      <c r="AH30" s="84">
        <f t="shared" si="14"/>
        <v>3307.3017056565445</v>
      </c>
      <c r="AI30" s="46">
        <f t="shared" si="15"/>
        <v>3288.9489709383606</v>
      </c>
      <c r="AJ30" s="46">
        <f t="shared" si="16"/>
        <v>2012.737066363879</v>
      </c>
    </row>
    <row r="31" spans="3:36">
      <c r="C31" t="s">
        <v>39</v>
      </c>
      <c r="D31" t="s">
        <v>414</v>
      </c>
      <c r="E31" s="59">
        <f>INDEX(DeployedCapacities!$D$73:$F$97, MATCH($C31, DeployedCapacities!$C$73:$C$97, 0), MATCH(E$11, DeployedCapacities!$D$71:$F$71, 0))</f>
        <v>2655.8999999999996</v>
      </c>
      <c r="F31" s="46">
        <f>INDEX(DeployedCapacities!$D$73:$F$97, MATCH($C31, DeployedCapacities!$C$73:$C$97, 0), MATCH(F$11, DeployedCapacities!$D$71:$F$71, 0))</f>
        <v>1371.8999999999996</v>
      </c>
      <c r="G31" s="46">
        <f>INDEX(DeployedCapacities!$D$73:$F$97, MATCH($C31, DeployedCapacities!$C$73:$C$97, 0), MATCH(G$11, DeployedCapacities!$D$71:$F$71, 0))</f>
        <v>0</v>
      </c>
      <c r="H31" s="59">
        <f>SUMIFS(TechAssumptions!$J$16:$J$90, TechAssumptions!$C$16:$C$90, $C31, TechAssumptions!$D$16:$D$90, H$10)*1000</f>
        <v>1461888.8888888892</v>
      </c>
      <c r="I31" s="46">
        <f>SUMIFS(TechAssumptions!$K$16:$K$90, TechAssumptions!$C$16:$C$90, $C31, TechAssumptions!$D$16:$D$90, I$10)*1000</f>
        <v>1461888.8888888892</v>
      </c>
      <c r="J31" s="46">
        <f>SUMIFS(TechAssumptions!$L$16:$L$90, TechAssumptions!$C$16:$C$90, $C31, TechAssumptions!$D$16:$D$90, J$10)*1000</f>
        <v>1461888.8888888892</v>
      </c>
      <c r="K31" s="46">
        <f>(SUMIFS(TechAssumptions!$J$16:$J$90, TechAssumptions!$C$16:$C$90, $C31, TechAssumptions!$D$16:$D$90, K$10))*1000</f>
        <v>15143.032585956289</v>
      </c>
      <c r="L31" s="13">
        <f>SUMIFS(TechAssumptions!$J$16:$J$90, TechAssumptions!$C$16:$C$90, $C31, TechAssumptions!$D$16:$D$90, L$10)</f>
        <v>56.763636363636365</v>
      </c>
      <c r="M31" s="13">
        <f>INDEX(TechAssumptions!$G$16:$G$90, MATCH(C31, TechAssumptions!$C$16:$C$90, 0))</f>
        <v>50</v>
      </c>
      <c r="N31" s="14">
        <f>INDEX(TechAssumptions!$H$16:$H$90, MATCH(C31, TechAssumptions!$C$16:$C$90, 0))</f>
        <v>7.4999999999999997E-2</v>
      </c>
      <c r="O31" s="58">
        <f>SUMIFS(DispatchVols_HG!$I:$I, DispatchVols_HG!$E:$E, $C31, DispatchVols_HG!$C:$C, O$11)</f>
        <v>9844.39</v>
      </c>
      <c r="P31" s="13">
        <f>SUMIFS(DispatchVols_HG!$I:$I, DispatchVols_HG!$E:$E, $C31, DispatchVols_HG!$C:$C, P$11)</f>
        <v>6248.65</v>
      </c>
      <c r="Q31" s="13">
        <f>SUMIFS(DispatchVols_HG!$I:$I, DispatchVols_HG!$E:$E, $C31, DispatchVols_HG!$C:$C, Q$11)</f>
        <v>2041.08</v>
      </c>
      <c r="R31" s="58">
        <f t="shared" si="0"/>
        <v>3882.6307000000006</v>
      </c>
      <c r="S31" s="13">
        <f t="shared" si="1"/>
        <v>2005.5653666666665</v>
      </c>
      <c r="T31" s="13">
        <f t="shared" si="2"/>
        <v>0</v>
      </c>
      <c r="U31" s="84">
        <f t="shared" si="3"/>
        <v>299.2437060929534</v>
      </c>
      <c r="V31" s="46">
        <f t="shared" si="4"/>
        <v>154.5737566884757</v>
      </c>
      <c r="W31" s="79">
        <f t="shared" si="5"/>
        <v>0</v>
      </c>
      <c r="X31" s="84">
        <f t="shared" si="17"/>
        <v>40.218380245041303</v>
      </c>
      <c r="Y31" s="46">
        <f t="shared" si="6"/>
        <v>20.774726404673427</v>
      </c>
      <c r="Z31" s="79">
        <f t="shared" si="7"/>
        <v>0</v>
      </c>
      <c r="AA31" s="46">
        <f>($K31*INDEX(DeployedCapacities!$D$7:$D$31, MATCH($C31, DeployedCapacities!$C$7:$C$31, 0)))/10^6</f>
        <v>41.552481415864058</v>
      </c>
      <c r="AB31" s="46">
        <f t="shared" si="8"/>
        <v>81.770861660905354</v>
      </c>
      <c r="AC31" s="46">
        <f t="shared" si="9"/>
        <v>62.327207820537481</v>
      </c>
      <c r="AD31" s="46">
        <f t="shared" si="10"/>
        <v>41.552481415864058</v>
      </c>
      <c r="AE31" s="84">
        <f t="shared" si="11"/>
        <v>558.8033741818183</v>
      </c>
      <c r="AF31" s="46">
        <f t="shared" si="12"/>
        <v>354.6960963636364</v>
      </c>
      <c r="AG31" s="79">
        <f t="shared" si="13"/>
        <v>115.8591229090909</v>
      </c>
      <c r="AH31" s="84">
        <f t="shared" si="14"/>
        <v>939.81794193567703</v>
      </c>
      <c r="AI31" s="46">
        <f t="shared" si="15"/>
        <v>571.59706087264954</v>
      </c>
      <c r="AJ31" s="46">
        <f t="shared" si="16"/>
        <v>157.41160432495496</v>
      </c>
    </row>
    <row r="32" spans="3:36">
      <c r="C32" t="s">
        <v>40</v>
      </c>
      <c r="D32" t="s">
        <v>414</v>
      </c>
      <c r="E32" s="59">
        <f>INDEX(DeployedCapacities!$D$73:$F$97, MATCH($C32, DeployedCapacities!$C$73:$C$97, 0), MATCH(E$11, DeployedCapacities!$D$71:$F$71, 0))</f>
        <v>6.4600000000000364</v>
      </c>
      <c r="F32" s="46">
        <f>INDEX(DeployedCapacities!$D$73:$F$97, MATCH($C32, DeployedCapacities!$C$73:$C$97, 0), MATCH(F$11, DeployedCapacities!$D$71:$F$71, 0))</f>
        <v>6.4600000000000364</v>
      </c>
      <c r="G32" s="46">
        <f>INDEX(DeployedCapacities!$D$73:$F$97, MATCH($C32, DeployedCapacities!$C$73:$C$97, 0), MATCH(G$11, DeployedCapacities!$D$71:$F$71, 0))</f>
        <v>6.4600000000000364</v>
      </c>
      <c r="H32" s="59">
        <f>SUMIFS(TechAssumptions!$J$16:$J$90, TechAssumptions!$C$16:$C$90, $C32, TechAssumptions!$D$16:$D$90, H$10)*1000</f>
        <v>4615486.2385321101</v>
      </c>
      <c r="I32" s="46">
        <f>SUMIFS(TechAssumptions!$K$16:$K$90, TechAssumptions!$C$16:$C$90, $C32, TechAssumptions!$D$16:$D$90, I$10)*1000</f>
        <v>4615486.2385321101</v>
      </c>
      <c r="J32" s="46">
        <f>SUMIFS(TechAssumptions!$L$16:$L$90, TechAssumptions!$C$16:$C$90, $C32, TechAssumptions!$D$16:$D$90, J$10)*1000</f>
        <v>4615486.2385321101</v>
      </c>
      <c r="K32" s="46">
        <f>(SUMIFS(TechAssumptions!$J$16:$J$90, TechAssumptions!$C$16:$C$90, $C32, TechAssumptions!$D$16:$D$90, K$10))*1000</f>
        <v>37316.697247706419</v>
      </c>
      <c r="L32" s="13">
        <f>SUMIFS(TechAssumptions!$J$16:$J$90, TechAssumptions!$C$16:$C$90, $C32, TechAssumptions!$D$16:$D$90, L$10)</f>
        <v>8.5926605504587155</v>
      </c>
      <c r="M32" s="13">
        <f>INDEX(TechAssumptions!$G$16:$G$90, MATCH(C32, TechAssumptions!$C$16:$C$90, 0))</f>
        <v>41</v>
      </c>
      <c r="N32" s="14">
        <f>INDEX(TechAssumptions!$H$16:$H$90, MATCH(C32, TechAssumptions!$C$16:$C$90, 0))</f>
        <v>5.3999999999999999E-2</v>
      </c>
      <c r="O32" s="58">
        <f>SUMIFS(DispatchVols_HG!$I:$I, DispatchVols_HG!$E:$E, $C32, DispatchVols_HG!$C:$C, O$11)</f>
        <v>751.12</v>
      </c>
      <c r="P32" s="13">
        <f>SUMIFS(DispatchVols_HG!$I:$I, DispatchVols_HG!$E:$E, $C32, DispatchVols_HG!$C:$C, P$11)</f>
        <v>751.12</v>
      </c>
      <c r="Q32" s="13">
        <f>SUMIFS(DispatchVols_HG!$I:$I, DispatchVols_HG!$E:$E, $C32, DispatchVols_HG!$C:$C, Q$11)</f>
        <v>751.12</v>
      </c>
      <c r="R32" s="58">
        <f t="shared" si="0"/>
        <v>29.816041100917602</v>
      </c>
      <c r="S32" s="13">
        <f t="shared" si="1"/>
        <v>29.816041100917602</v>
      </c>
      <c r="T32" s="13">
        <f t="shared" si="2"/>
        <v>29.816041100917602</v>
      </c>
      <c r="U32" s="84">
        <f t="shared" si="3"/>
        <v>1.8208345960608634</v>
      </c>
      <c r="V32" s="46">
        <f t="shared" si="4"/>
        <v>1.8208345960608634</v>
      </c>
      <c r="W32" s="79">
        <f t="shared" si="5"/>
        <v>1.8208345960608634</v>
      </c>
      <c r="X32" s="84">
        <f t="shared" si="17"/>
        <v>0.24106586422018483</v>
      </c>
      <c r="Y32" s="46">
        <f t="shared" si="6"/>
        <v>0.24106586422018483</v>
      </c>
      <c r="Z32" s="79">
        <f t="shared" si="7"/>
        <v>0.24106586422018483</v>
      </c>
      <c r="AA32" s="46">
        <f>($K32*INDEX(DeployedCapacities!$D$7:$D$31, MATCH($C32, DeployedCapacities!$C$7:$C$31, 0)))/10^6</f>
        <v>50.287981211009168</v>
      </c>
      <c r="AB32" s="46">
        <f t="shared" si="8"/>
        <v>50.52904707522935</v>
      </c>
      <c r="AC32" s="46">
        <f t="shared" si="9"/>
        <v>50.52904707522935</v>
      </c>
      <c r="AD32" s="46">
        <f t="shared" si="10"/>
        <v>50.52904707522935</v>
      </c>
      <c r="AE32" s="84">
        <f t="shared" si="11"/>
        <v>6.4541191926605492</v>
      </c>
      <c r="AF32" s="46">
        <f t="shared" si="12"/>
        <v>6.4541191926605492</v>
      </c>
      <c r="AG32" s="79">
        <f t="shared" si="13"/>
        <v>6.4541191926605492</v>
      </c>
      <c r="AH32" s="84">
        <f t="shared" si="14"/>
        <v>58.804000863950769</v>
      </c>
      <c r="AI32" s="46">
        <f t="shared" si="15"/>
        <v>58.804000863950769</v>
      </c>
      <c r="AJ32" s="46">
        <f t="shared" si="16"/>
        <v>58.804000863950769</v>
      </c>
    </row>
    <row r="33" spans="3:41">
      <c r="C33" t="s">
        <v>41</v>
      </c>
      <c r="D33" t="s">
        <v>414</v>
      </c>
      <c r="E33" s="59">
        <f>INDEX(DeployedCapacities!$D$73:$F$97, MATCH($C33, DeployedCapacities!$C$73:$C$97, 0), MATCH(E$11, DeployedCapacities!$D$71:$F$71, 0))</f>
        <v>23.719999999999914</v>
      </c>
      <c r="F33" s="46">
        <f>INDEX(DeployedCapacities!$D$73:$F$97, MATCH($C33, DeployedCapacities!$C$73:$C$97, 0), MATCH(F$11, DeployedCapacities!$D$71:$F$71, 0))</f>
        <v>23.719999999999914</v>
      </c>
      <c r="G33" s="46">
        <f>INDEX(DeployedCapacities!$D$73:$F$97, MATCH($C33, DeployedCapacities!$C$73:$C$97, 0), MATCH(G$11, DeployedCapacities!$D$71:$F$71, 0))</f>
        <v>6.0999999999999091</v>
      </c>
      <c r="H33" s="59">
        <f>SUMIFS(TechAssumptions!$J$16:$J$90, TechAssumptions!$C$16:$C$90, $C33, TechAssumptions!$D$16:$D$90, H$10)*1000</f>
        <v>3633467.8899082569</v>
      </c>
      <c r="I33" s="46">
        <f>SUMIFS(TechAssumptions!$K$16:$K$90, TechAssumptions!$C$16:$C$90, $C33, TechAssumptions!$D$16:$D$90, I$10)*1000</f>
        <v>1953251.5246327624</v>
      </c>
      <c r="J33" s="46">
        <f>SUMIFS(TechAssumptions!$L$16:$L$90, TechAssumptions!$C$16:$C$90, $C33, TechAssumptions!$D$16:$D$90, J$10)*1000</f>
        <v>3738481.4127379754</v>
      </c>
      <c r="K33" s="46">
        <f>(SUMIFS(TechAssumptions!$J$16:$J$90, TechAssumptions!$C$16:$C$90, $C33, TechAssumptions!$D$16:$D$90, K$10))*1000</f>
        <v>63217.431192660551</v>
      </c>
      <c r="L33" s="13">
        <f>SUMIFS(TechAssumptions!$J$16:$J$90, TechAssumptions!$C$16:$C$90, $C33, TechAssumptions!$D$16:$D$90, L$10)</f>
        <v>4.9100917431192661</v>
      </c>
      <c r="M33" s="13">
        <f>INDEX(TechAssumptions!$G$16:$G$90, MATCH(C33, TechAssumptions!$C$16:$C$90, 0))</f>
        <v>41</v>
      </c>
      <c r="N33" s="14">
        <f>INDEX(TechAssumptions!$H$16:$H$90, MATCH(C33, TechAssumptions!$C$16:$C$90, 0))</f>
        <v>5.3999999999999999E-2</v>
      </c>
      <c r="O33" s="58">
        <f>SUMIFS(DispatchVols_HG!$I:$I, DispatchVols_HG!$E:$E, $C33, DispatchVols_HG!$C:$C, O$11)</f>
        <v>2784.71</v>
      </c>
      <c r="P33" s="13">
        <f>SUMIFS(DispatchVols_HG!$I:$I, DispatchVols_HG!$E:$E, $C33, DispatchVols_HG!$C:$C, P$11)</f>
        <v>2804.14</v>
      </c>
      <c r="Q33" s="13">
        <f>SUMIFS(DispatchVols_HG!$I:$I, DispatchVols_HG!$E:$E, $C33, DispatchVols_HG!$C:$C, Q$11)</f>
        <v>2747.07</v>
      </c>
      <c r="R33" s="58">
        <f t="shared" si="0"/>
        <v>86.18585834862354</v>
      </c>
      <c r="S33" s="13">
        <f t="shared" si="1"/>
        <v>86.18585834862354</v>
      </c>
      <c r="T33" s="13">
        <f t="shared" si="2"/>
        <v>22.164154128440039</v>
      </c>
      <c r="U33" s="84">
        <f t="shared" si="3"/>
        <v>5.263280662956463</v>
      </c>
      <c r="V33" s="46">
        <f t="shared" si="4"/>
        <v>5.263280662956463</v>
      </c>
      <c r="W33" s="79">
        <f t="shared" si="5"/>
        <v>1.3535418231043028</v>
      </c>
      <c r="X33" s="84">
        <f t="shared" si="17"/>
        <v>1.4995174678899028</v>
      </c>
      <c r="Y33" s="46">
        <f t="shared" si="6"/>
        <v>1.4995174678899028</v>
      </c>
      <c r="Z33" s="79">
        <f t="shared" si="7"/>
        <v>0.38562633027522358</v>
      </c>
      <c r="AA33" s="46">
        <f>($K33*INDEX(DeployedCapacities!$D$7:$D$31, MATCH($C33, DeployedCapacities!$C$7:$C$31, 0)))/10^6</f>
        <v>32.84335202752294</v>
      </c>
      <c r="AB33" s="46">
        <f t="shared" si="8"/>
        <v>34.342869495412842</v>
      </c>
      <c r="AC33" s="46">
        <f t="shared" si="9"/>
        <v>34.342869495412842</v>
      </c>
      <c r="AD33" s="46">
        <f t="shared" si="10"/>
        <v>33.228978357798162</v>
      </c>
      <c r="AE33" s="84">
        <f t="shared" si="11"/>
        <v>13.673181577981653</v>
      </c>
      <c r="AF33" s="46">
        <f t="shared" si="12"/>
        <v>13.768584660550459</v>
      </c>
      <c r="AG33" s="79">
        <f t="shared" si="13"/>
        <v>13.488365724770645</v>
      </c>
      <c r="AH33" s="84">
        <f t="shared" si="14"/>
        <v>53.279331736350954</v>
      </c>
      <c r="AI33" s="46">
        <f t="shared" si="15"/>
        <v>53.374734818919762</v>
      </c>
      <c r="AJ33" s="46">
        <f t="shared" si="16"/>
        <v>48.070885905673109</v>
      </c>
    </row>
    <row r="34" spans="3:41">
      <c r="C34" t="s">
        <v>42</v>
      </c>
      <c r="D34" t="s">
        <v>410</v>
      </c>
      <c r="E34" s="59">
        <f>INDEX(DeployedCapacities!$D$73:$F$97, MATCH($C34, DeployedCapacities!$C$73:$C$97, 0), MATCH(E$11, DeployedCapacities!$D$71:$F$71, 0))</f>
        <v>0</v>
      </c>
      <c r="F34" s="46">
        <f>INDEX(DeployedCapacities!$D$73:$F$97, MATCH($C34, DeployedCapacities!$C$73:$C$97, 0), MATCH(F$11, DeployedCapacities!$D$71:$F$71, 0))</f>
        <v>0</v>
      </c>
      <c r="G34" s="46">
        <f>INDEX(DeployedCapacities!$D$73:$F$97, MATCH($C34, DeployedCapacities!$C$73:$C$97, 0), MATCH(G$11, DeployedCapacities!$D$71:$F$71, 0))</f>
        <v>0</v>
      </c>
      <c r="H34" s="59">
        <f>SUMIFS(TechAssumptions!$J$16:$J$90, TechAssumptions!$C$16:$C$90, $C34, TechAssumptions!$D$16:$D$90, H$10)*1000</f>
        <v>619899.08256880729</v>
      </c>
      <c r="I34" s="46">
        <f>SUMIFS(TechAssumptions!$K$16:$K$90, TechAssumptions!$C$16:$C$90, $C34, TechAssumptions!$D$16:$D$90, I$10)*1000</f>
        <v>619899.08256880729</v>
      </c>
      <c r="J34" s="46">
        <f>SUMIFS(TechAssumptions!$L$16:$L$90, TechAssumptions!$C$16:$C$90, $C34, TechAssumptions!$D$16:$D$90, J$10)*1000</f>
        <v>619899.08256880729</v>
      </c>
      <c r="K34" s="46">
        <f>(SUMIFS(TechAssumptions!$J$16:$J$90, TechAssumptions!$C$16:$C$90, $C34, TechAssumptions!$D$16:$D$90, K$10))*1000</f>
        <v>15344.036697247706</v>
      </c>
      <c r="L34" s="13">
        <f>SUMIFS(TechAssumptions!$J$16:$J$90, TechAssumptions!$C$16:$C$90, $C34, TechAssumptions!$D$16:$D$90, L$10)</f>
        <v>0</v>
      </c>
      <c r="M34" s="13">
        <f>INDEX(TechAssumptions!$G$16:$G$90, MATCH(C34, TechAssumptions!$C$16:$C$90, 0))</f>
        <v>15</v>
      </c>
      <c r="N34" s="14">
        <f>INDEX(TechAssumptions!$H$16:$H$90, MATCH(C34, TechAssumptions!$C$16:$C$90, 0))</f>
        <v>7.0999999999999994E-2</v>
      </c>
      <c r="O34" s="58">
        <f>SUMIFS(DispatchVols_HG!$I:$I, DispatchVols_HG!$E:$E, $C34, DispatchVols_HG!$C:$C, O$11)</f>
        <v>106.37</v>
      </c>
      <c r="P34" s="13">
        <f>SUMIFS(DispatchVols_HG!$I:$I, DispatchVols_HG!$E:$E, $C34, DispatchVols_HG!$C:$C, P$11)</f>
        <v>125.47</v>
      </c>
      <c r="Q34" s="13">
        <f>SUMIFS(DispatchVols_HG!$I:$I, DispatchVols_HG!$E:$E, $C34, DispatchVols_HG!$C:$C, Q$11)</f>
        <v>337.16</v>
      </c>
      <c r="R34" s="58">
        <f t="shared" si="0"/>
        <v>0</v>
      </c>
      <c r="S34" s="13">
        <f t="shared" si="1"/>
        <v>0</v>
      </c>
      <c r="T34" s="13">
        <f t="shared" si="2"/>
        <v>0</v>
      </c>
      <c r="U34" s="84">
        <f t="shared" si="3"/>
        <v>0</v>
      </c>
      <c r="V34" s="46">
        <f t="shared" si="4"/>
        <v>0</v>
      </c>
      <c r="W34" s="79">
        <f t="shared" si="5"/>
        <v>0</v>
      </c>
      <c r="X34" s="84">
        <f t="shared" si="17"/>
        <v>0</v>
      </c>
      <c r="Y34" s="46">
        <f t="shared" si="6"/>
        <v>0</v>
      </c>
      <c r="Z34" s="79">
        <f t="shared" si="7"/>
        <v>0</v>
      </c>
      <c r="AA34" s="46">
        <f>($K34*INDEX(DeployedCapacities!$D$7:$D$31, MATCH($C34, DeployedCapacities!$C$7:$C$31, 0)))/10^6</f>
        <v>1.6540871559633026</v>
      </c>
      <c r="AB34" s="46">
        <f t="shared" si="8"/>
        <v>1.6540871559633026</v>
      </c>
      <c r="AC34" s="46">
        <f t="shared" si="9"/>
        <v>1.6540871559633026</v>
      </c>
      <c r="AD34" s="46">
        <f t="shared" si="10"/>
        <v>1.6540871559633026</v>
      </c>
      <c r="AE34" s="84">
        <f t="shared" si="11"/>
        <v>0</v>
      </c>
      <c r="AF34" s="46">
        <f t="shared" si="12"/>
        <v>0</v>
      </c>
      <c r="AG34" s="79">
        <f t="shared" si="13"/>
        <v>0</v>
      </c>
      <c r="AH34" s="84">
        <f t="shared" si="14"/>
        <v>1.6540871559633026</v>
      </c>
      <c r="AI34" s="46">
        <f t="shared" si="15"/>
        <v>1.6540871559633026</v>
      </c>
      <c r="AJ34" s="46">
        <f t="shared" si="16"/>
        <v>1.6540871559633026</v>
      </c>
    </row>
    <row r="35" spans="3:41">
      <c r="C35" t="s">
        <v>43</v>
      </c>
      <c r="D35" t="s">
        <v>412</v>
      </c>
      <c r="E35" s="59">
        <f>INDEX(DeployedCapacities!$D$73:$F$97, MATCH($C35, DeployedCapacities!$C$73:$C$97, 0), MATCH(E$11, DeployedCapacities!$D$71:$F$71, 0))</f>
        <v>205.60000000000005</v>
      </c>
      <c r="F35" s="46">
        <f>INDEX(DeployedCapacities!$D$73:$F$97, MATCH($C35, DeployedCapacities!$C$73:$C$97, 0), MATCH(F$11, DeployedCapacities!$D$71:$F$71, 0))</f>
        <v>205.60000000000005</v>
      </c>
      <c r="G35" s="46">
        <f>INDEX(DeployedCapacities!$D$73:$F$97, MATCH($C35, DeployedCapacities!$C$73:$C$97, 0), MATCH(G$11, DeployedCapacities!$D$71:$F$71, 0))</f>
        <v>13.100000000000001</v>
      </c>
      <c r="H35" s="59">
        <f>SUMIFS(TechAssumptions!$J$16:$J$90, TechAssumptions!$C$16:$C$90, $C35, TechAssumptions!$D$16:$D$90, H$10)*1000</f>
        <v>6567247.7064220188</v>
      </c>
      <c r="I35" s="46">
        <f>SUMIFS(TechAssumptions!$K$16:$K$90, TechAssumptions!$C$16:$C$90, $C35, TechAssumptions!$D$16:$D$90, I$10)*1000</f>
        <v>6221603.0902945427</v>
      </c>
      <c r="J35" s="46">
        <f>SUMIFS(TechAssumptions!$L$16:$L$90, TechAssumptions!$C$16:$C$90, $C35, TechAssumptions!$D$16:$D$90, J$10)*1000</f>
        <v>7085714.6306132311</v>
      </c>
      <c r="K35" s="46">
        <f>(SUMIFS(TechAssumptions!$J$16:$J$90, TechAssumptions!$C$16:$C$90, $C35, TechAssumptions!$D$16:$D$90, K$10))*1000</f>
        <v>172344.22018348624</v>
      </c>
      <c r="L35" s="13">
        <f>SUMIFS(TechAssumptions!$J$16:$J$90, TechAssumptions!$C$16:$C$90, $C35, TechAssumptions!$D$16:$D$90, L$10)</f>
        <v>0</v>
      </c>
      <c r="M35" s="13">
        <f>INDEX(TechAssumptions!$G$16:$G$90, MATCH(C35, TechAssumptions!$C$16:$C$90, 0))</f>
        <v>25</v>
      </c>
      <c r="N35" s="14">
        <f>INDEX(TechAssumptions!$H$16:$H$90, MATCH(C35, TechAssumptions!$C$16:$C$90, 0))</f>
        <v>9.4E-2</v>
      </c>
      <c r="O35" s="58">
        <f>SUMIFS(DispatchVols_HG!$I:$I, DispatchVols_HG!$E:$E, $C35, DispatchVols_HG!$C:$C, O$11)</f>
        <v>395.51</v>
      </c>
      <c r="P35" s="13">
        <f>SUMIFS(DispatchVols_HG!$I:$I, DispatchVols_HG!$E:$E, $C35, DispatchVols_HG!$C:$C, P$11)</f>
        <v>412.88</v>
      </c>
      <c r="Q35" s="13">
        <f>SUMIFS(DispatchVols_HG!$I:$I, DispatchVols_HG!$E:$E, $C35, DispatchVols_HG!$C:$C, Q$11)</f>
        <v>103.23</v>
      </c>
      <c r="R35" s="58">
        <f t="shared" si="0"/>
        <v>1350.2261284403673</v>
      </c>
      <c r="S35" s="13">
        <f t="shared" si="1"/>
        <v>1350.2261284403673</v>
      </c>
      <c r="T35" s="13">
        <f t="shared" si="2"/>
        <v>86.030944954128458</v>
      </c>
      <c r="U35" s="84">
        <f t="shared" si="3"/>
        <v>141.94147504804747</v>
      </c>
      <c r="V35" s="46">
        <f t="shared" si="4"/>
        <v>141.94147504804747</v>
      </c>
      <c r="W35" s="79">
        <f t="shared" si="5"/>
        <v>9.043936396543879</v>
      </c>
      <c r="X35" s="84">
        <f t="shared" si="17"/>
        <v>35.433971669724777</v>
      </c>
      <c r="Y35" s="46">
        <f t="shared" si="6"/>
        <v>35.433971669724777</v>
      </c>
      <c r="Z35" s="79">
        <f t="shared" si="7"/>
        <v>2.2577092844036701</v>
      </c>
      <c r="AA35" s="46">
        <f>($K35*INDEX(DeployedCapacities!$D$7:$D$31, MATCH($C35, DeployedCapacities!$C$7:$C$31, 0)))/10^6</f>
        <v>8.4035041761467877</v>
      </c>
      <c r="AB35" s="46">
        <f t="shared" si="8"/>
        <v>43.837475845871566</v>
      </c>
      <c r="AC35" s="46">
        <f t="shared" si="9"/>
        <v>43.837475845871566</v>
      </c>
      <c r="AD35" s="46">
        <f t="shared" si="10"/>
        <v>10.661213460550458</v>
      </c>
      <c r="AE35" s="84">
        <f t="shared" si="11"/>
        <v>0</v>
      </c>
      <c r="AF35" s="46">
        <f t="shared" si="12"/>
        <v>0</v>
      </c>
      <c r="AG35" s="79">
        <f t="shared" si="13"/>
        <v>0</v>
      </c>
      <c r="AH35" s="84">
        <f t="shared" si="14"/>
        <v>185.77895089391902</v>
      </c>
      <c r="AI35" s="46">
        <f t="shared" si="15"/>
        <v>185.77895089391902</v>
      </c>
      <c r="AJ35" s="46">
        <f t="shared" si="16"/>
        <v>19.705149857094337</v>
      </c>
    </row>
    <row r="36" spans="3:41">
      <c r="C36" t="s">
        <v>44</v>
      </c>
      <c r="D36" t="s">
        <v>413</v>
      </c>
      <c r="E36" s="59">
        <f>INDEX(DeployedCapacities!$D$73:$F$97, MATCH($C36, DeployedCapacities!$C$73:$C$97, 0), MATCH(E$11, DeployedCapacities!$D$71:$F$71, 0))</f>
        <v>129.65</v>
      </c>
      <c r="F36" s="46">
        <f>INDEX(DeployedCapacities!$D$73:$F$97, MATCH($C36, DeployedCapacities!$C$73:$C$97, 0), MATCH(F$11, DeployedCapacities!$D$71:$F$71, 0))</f>
        <v>129.65</v>
      </c>
      <c r="G36" s="46">
        <f>INDEX(DeployedCapacities!$D$73:$F$97, MATCH($C36, DeployedCapacities!$C$73:$C$97, 0), MATCH(G$11, DeployedCapacities!$D$71:$F$71, 0))</f>
        <v>0</v>
      </c>
      <c r="H36" s="59">
        <f>SUMIFS(TechAssumptions!$J$16:$J$90, TechAssumptions!$C$16:$C$90, $C36, TechAssumptions!$D$16:$D$90, H$10)*1000</f>
        <v>619899.08256880729</v>
      </c>
      <c r="I36" s="46">
        <f>SUMIFS(TechAssumptions!$K$16:$K$90, TechAssumptions!$C$16:$C$90, $C36, TechAssumptions!$D$16:$D$90, I$10)*1000</f>
        <v>619899.08256880729</v>
      </c>
      <c r="J36" s="46">
        <f>SUMIFS(TechAssumptions!$L$16:$L$90, TechAssumptions!$C$16:$C$90, $C36, TechAssumptions!$D$16:$D$90, J$10)*1000</f>
        <v>619899.08256880729</v>
      </c>
      <c r="K36" s="46">
        <f>(SUMIFS(TechAssumptions!$J$16:$J$90, TechAssumptions!$C$16:$C$90, $C36, TechAssumptions!$D$16:$D$90, K$10))*1000</f>
        <v>15344.036697247706</v>
      </c>
      <c r="L36" s="13">
        <f>SUMIFS(TechAssumptions!$J$16:$J$90, TechAssumptions!$C$16:$C$90, $C36, TechAssumptions!$D$16:$D$90, L$10)</f>
        <v>0</v>
      </c>
      <c r="M36" s="13">
        <f>INDEX(TechAssumptions!$G$16:$G$90, MATCH(C36, TechAssumptions!$C$16:$C$90, 0))</f>
        <v>15</v>
      </c>
      <c r="N36" s="14">
        <f>INDEX(TechAssumptions!$H$16:$H$90, MATCH(C36, TechAssumptions!$C$16:$C$90, 0))</f>
        <v>7.0999999999999994E-2</v>
      </c>
      <c r="O36" s="58">
        <f>SUMIFS(DispatchVols_HG!$I:$I, DispatchVols_HG!$E:$E, $C36, DispatchVols_HG!$C:$C, O$11)</f>
        <v>100.33</v>
      </c>
      <c r="P36" s="13">
        <f>SUMIFS(DispatchVols_HG!$I:$I, DispatchVols_HG!$E:$E, $C36, DispatchVols_HG!$C:$C, P$11)</f>
        <v>183.97</v>
      </c>
      <c r="Q36" s="13">
        <f>SUMIFS(DispatchVols_HG!$I:$I, DispatchVols_HG!$E:$E, $C36, DispatchVols_HG!$C:$C, Q$11)</f>
        <v>0</v>
      </c>
      <c r="R36" s="58">
        <f t="shared" si="0"/>
        <v>80.369916055045877</v>
      </c>
      <c r="S36" s="13">
        <f t="shared" si="1"/>
        <v>80.369916055045877</v>
      </c>
      <c r="T36" s="13">
        <f t="shared" si="2"/>
        <v>0</v>
      </c>
      <c r="U36" s="84">
        <f t="shared" si="3"/>
        <v>8.8800012582043664</v>
      </c>
      <c r="V36" s="46">
        <f t="shared" si="4"/>
        <v>8.8800012582043664</v>
      </c>
      <c r="W36" s="79">
        <f t="shared" si="5"/>
        <v>0</v>
      </c>
      <c r="X36" s="84">
        <f t="shared" si="17"/>
        <v>1.9893543577981652</v>
      </c>
      <c r="Y36" s="46">
        <f t="shared" si="6"/>
        <v>1.9893543577981652</v>
      </c>
      <c r="Z36" s="79">
        <f t="shared" si="7"/>
        <v>0</v>
      </c>
      <c r="AA36" s="46">
        <f>($K36*INDEX(DeployedCapacities!$D$7:$D$31, MATCH($C36, DeployedCapacities!$C$7:$C$31, 0)))/10^6</f>
        <v>0</v>
      </c>
      <c r="AB36" s="46">
        <f t="shared" si="8"/>
        <v>1.9893543577981652</v>
      </c>
      <c r="AC36" s="46">
        <f t="shared" si="9"/>
        <v>1.9893543577981652</v>
      </c>
      <c r="AD36" s="46">
        <f t="shared" si="10"/>
        <v>0</v>
      </c>
      <c r="AE36" s="84">
        <f t="shared" si="11"/>
        <v>0</v>
      </c>
      <c r="AF36" s="46">
        <f t="shared" si="12"/>
        <v>0</v>
      </c>
      <c r="AG36" s="79">
        <f t="shared" si="13"/>
        <v>0</v>
      </c>
      <c r="AH36" s="84">
        <f t="shared" si="14"/>
        <v>10.869355616002531</v>
      </c>
      <c r="AI36" s="46">
        <f t="shared" si="15"/>
        <v>10.869355616002531</v>
      </c>
      <c r="AJ36" s="46">
        <f t="shared" si="16"/>
        <v>0</v>
      </c>
    </row>
    <row r="37" spans="3:41">
      <c r="C37" t="s">
        <v>204</v>
      </c>
      <c r="D37" t="s">
        <v>414</v>
      </c>
      <c r="E37" s="59">
        <f>INDEX(DeployedCapacities!$D$73:$F$97, MATCH($C37, DeployedCapacities!$C$73:$C$97, 0), MATCH(E$11, DeployedCapacities!$D$71:$F$71, 0))</f>
        <v>25255.089999999997</v>
      </c>
      <c r="F37" s="46">
        <f>INDEX(DeployedCapacities!$D$73:$F$97, MATCH($C37, DeployedCapacities!$C$73:$C$97, 0), MATCH(F$11, DeployedCapacities!$D$71:$F$71, 0))</f>
        <v>23255.089999999997</v>
      </c>
      <c r="G37" s="46">
        <f>INDEX(DeployedCapacities!$D$73:$F$97, MATCH($C37, DeployedCapacities!$C$73:$C$97, 0), MATCH(G$11, DeployedCapacities!$D$71:$F$71, 0))</f>
        <v>14736.65</v>
      </c>
      <c r="H37" s="59">
        <f>SUMIFS(TechAssumptions!$J$16:$J$90, TechAssumptions!$C$16:$C$90, $C37, TechAssumptions!$D$16:$D$90, H$10)*1000</f>
        <v>812648.54864385934</v>
      </c>
      <c r="I37" s="46">
        <f>SUMIFS(TechAssumptions!$K$16:$K$90, TechAssumptions!$C$16:$C$90, $C37, TechAssumptions!$D$16:$D$90, I$10)*1000</f>
        <v>812648.54864385934</v>
      </c>
      <c r="J37" s="46">
        <f>SUMIFS(TechAssumptions!$L$16:$L$90, TechAssumptions!$C$16:$C$90, $C37, TechAssumptions!$D$16:$D$90, J$10)*1000</f>
        <v>812648.54864385934</v>
      </c>
      <c r="K37" s="46">
        <f>(SUMIFS(TechAssumptions!$J$16:$J$90, TechAssumptions!$C$16:$C$90, $C37, TechAssumptions!$D$16:$D$90, K$10))*1000</f>
        <v>8274.1014799154327</v>
      </c>
      <c r="L37" s="13">
        <f>SUMIFS(TechAssumptions!$J$16:$J$90, TechAssumptions!$C$16:$C$90, $C37, TechAssumptions!$D$16:$D$90, L$10)</f>
        <v>0</v>
      </c>
      <c r="M37" s="13">
        <f>INDEX(TechAssumptions!$G$16:$G$90, MATCH(C37, TechAssumptions!$C$16:$C$90, 0))</f>
        <v>15</v>
      </c>
      <c r="N37" s="14">
        <f>INDEX(TechAssumptions!$H$16:$H$90, MATCH(C37, TechAssumptions!$C$16:$C$90, 0))</f>
        <v>0.08</v>
      </c>
      <c r="O37" s="58">
        <f>SUMIFS(DispatchVols_HG!$I:$I, DispatchVols_HG!$E:$E, $C37, DispatchVols_HG!$C:$C, O$11)</f>
        <v>0</v>
      </c>
      <c r="P37" s="13">
        <f>SUMIFS(DispatchVols_HG!$I:$I, DispatchVols_HG!$E:$E, $C37, DispatchVols_HG!$C:$C, P$11)</f>
        <v>0</v>
      </c>
      <c r="Q37" s="13">
        <f>SUMIFS(DispatchVols_HG!$I:$I, DispatchVols_HG!$E:$E, $C37, DispatchVols_HG!$C:$C, Q$11)</f>
        <v>0</v>
      </c>
      <c r="R37" s="58">
        <f t="shared" si="0"/>
        <v>20523.512234370042</v>
      </c>
      <c r="S37" s="13">
        <f t="shared" si="1"/>
        <v>18898.215137082327</v>
      </c>
      <c r="T37" s="13">
        <f t="shared" si="2"/>
        <v>11975.717234372531</v>
      </c>
      <c r="U37" s="84">
        <f t="shared" si="3"/>
        <v>2397.7525948302919</v>
      </c>
      <c r="V37" s="46">
        <f t="shared" si="4"/>
        <v>2207.8698745683337</v>
      </c>
      <c r="W37" s="79">
        <f t="shared" si="5"/>
        <v>1399.1175947741951</v>
      </c>
      <c r="X37" s="84">
        <f t="shared" si="17"/>
        <v>208.96317754439741</v>
      </c>
      <c r="Y37" s="46">
        <f t="shared" si="6"/>
        <v>192.41497458456655</v>
      </c>
      <c r="Z37" s="79">
        <f t="shared" si="7"/>
        <v>121.93253757399576</v>
      </c>
      <c r="AA37" s="46">
        <f>($K37*INDEX(DeployedCapacities!$D$7:$D$31, MATCH($C37, DeployedCapacities!$C$7:$C$31, 0)))/10^6</f>
        <v>37.94792532241015</v>
      </c>
      <c r="AB37" s="46">
        <f t="shared" si="8"/>
        <v>246.91110286680757</v>
      </c>
      <c r="AC37" s="46">
        <f t="shared" si="9"/>
        <v>230.36289990697671</v>
      </c>
      <c r="AD37" s="46">
        <f t="shared" si="10"/>
        <v>159.8804628964059</v>
      </c>
      <c r="AE37" s="84">
        <f t="shared" si="11"/>
        <v>0</v>
      </c>
      <c r="AF37" s="46">
        <f t="shared" si="12"/>
        <v>0</v>
      </c>
      <c r="AG37" s="79">
        <f t="shared" si="13"/>
        <v>0</v>
      </c>
      <c r="AH37" s="84">
        <f t="shared" si="14"/>
        <v>2644.6636976970995</v>
      </c>
      <c r="AI37" s="46">
        <f t="shared" si="15"/>
        <v>2438.2327744753106</v>
      </c>
      <c r="AJ37" s="46">
        <f t="shared" si="16"/>
        <v>1558.9980576706009</v>
      </c>
    </row>
    <row r="38" spans="3:41">
      <c r="C38" t="s">
        <v>217</v>
      </c>
      <c r="D38" t="s">
        <v>414</v>
      </c>
      <c r="E38" s="59">
        <f>INDEX(DeployedCapacities!$D$73:$F$97, MATCH($C38, DeployedCapacities!$C$73:$C$97, 0), MATCH(E$11, DeployedCapacities!$D$71:$F$71, 0))</f>
        <v>4050</v>
      </c>
      <c r="F38" s="46">
        <f>INDEX(DeployedCapacities!$D$73:$F$97, MATCH($C38, DeployedCapacities!$C$73:$C$97, 0), MATCH(F$11, DeployedCapacities!$D$71:$F$71, 0))</f>
        <v>4050</v>
      </c>
      <c r="G38" s="46">
        <f>INDEX(DeployedCapacities!$D$73:$F$97, MATCH($C38, DeployedCapacities!$C$73:$C$97, 0), MATCH(G$11, DeployedCapacities!$D$71:$F$71, 0))</f>
        <v>3300</v>
      </c>
      <c r="H38" s="59">
        <f>SUMIFS(TechAssumptions!$J$16:$J$90, TechAssumptions!$C$16:$C$90, $C38, TechAssumptions!$D$16:$D$90, H$10)*1000</f>
        <v>1753175.2139346895</v>
      </c>
      <c r="I38" s="46">
        <f>SUMIFS(TechAssumptions!$K$16:$K$90, TechAssumptions!$C$16:$C$90, $C38, TechAssumptions!$D$16:$D$90, I$10)*1000</f>
        <v>1753175.2139346895</v>
      </c>
      <c r="J38" s="46">
        <f>SUMIFS(TechAssumptions!$L$16:$L$90, TechAssumptions!$C$16:$C$90, $C38, TechAssumptions!$D$16:$D$90, J$10)*1000</f>
        <v>1753175.2139346895</v>
      </c>
      <c r="K38" s="46">
        <f>(SUMIFS(TechAssumptions!$J$16:$J$90, TechAssumptions!$C$16:$C$90, $C38, TechAssumptions!$D$16:$D$90, K$10))*1000</f>
        <v>50000</v>
      </c>
      <c r="L38" s="13">
        <f>SUMIFS(TechAssumptions!$J$16:$J$90, TechAssumptions!$C$16:$C$90, $C38, TechAssumptions!$D$16:$D$90, L$10)</f>
        <v>5</v>
      </c>
      <c r="M38" s="13">
        <f>INDEX(TechAssumptions!$G$16:$G$90, MATCH(C38, TechAssumptions!$C$16:$C$90, 0))</f>
        <v>25</v>
      </c>
      <c r="N38" s="14">
        <f>INDEX(TechAssumptions!$H$16:$H$90, MATCH(C38, TechAssumptions!$C$16:$C$90, 0))</f>
        <v>0.09</v>
      </c>
      <c r="O38" s="58">
        <f>SUMIFS(DispatchVols_HG!$I:$I, DispatchVols_HG!$E:$E, $C38, DispatchVols_HG!$C:$C, O$11)</f>
        <v>0</v>
      </c>
      <c r="P38" s="13">
        <f>SUMIFS(DispatchVols_HG!$I:$I, DispatchVols_HG!$E:$E, $C38, DispatchVols_HG!$C:$C, P$11)</f>
        <v>0</v>
      </c>
      <c r="Q38" s="13">
        <f>SUMIFS(DispatchVols_HG!$I:$I, DispatchVols_HG!$E:$E, $C38, DispatchVols_HG!$C:$C, Q$11)</f>
        <v>0</v>
      </c>
      <c r="R38" s="58">
        <f t="shared" si="0"/>
        <v>7100.3596164354922</v>
      </c>
      <c r="S38" s="13">
        <f t="shared" si="1"/>
        <v>7100.3596164354922</v>
      </c>
      <c r="T38" s="13">
        <f t="shared" si="2"/>
        <v>5785.4782059844747</v>
      </c>
      <c r="U38" s="84">
        <f t="shared" si="3"/>
        <v>722.86098988278229</v>
      </c>
      <c r="V38" s="46">
        <f t="shared" si="4"/>
        <v>722.86098988278229</v>
      </c>
      <c r="W38" s="79">
        <f t="shared" si="5"/>
        <v>588.99784360819297</v>
      </c>
      <c r="X38" s="84">
        <f t="shared" si="17"/>
        <v>202.5</v>
      </c>
      <c r="Y38" s="46">
        <f t="shared" si="6"/>
        <v>202.5</v>
      </c>
      <c r="Z38" s="79">
        <f t="shared" si="7"/>
        <v>165</v>
      </c>
      <c r="AA38" s="46">
        <f>($K38*INDEX(DeployedCapacities!$D$7:$D$31, MATCH($C38, DeployedCapacities!$C$7:$C$31, 0)))/10^6</f>
        <v>420</v>
      </c>
      <c r="AB38" s="46">
        <f t="shared" si="8"/>
        <v>622.5</v>
      </c>
      <c r="AC38" s="46">
        <f t="shared" si="9"/>
        <v>622.5</v>
      </c>
      <c r="AD38" s="46">
        <f t="shared" si="10"/>
        <v>585</v>
      </c>
      <c r="AE38" s="84">
        <f t="shared" si="11"/>
        <v>0</v>
      </c>
      <c r="AF38" s="46">
        <f t="shared" si="12"/>
        <v>0</v>
      </c>
      <c r="AG38" s="79">
        <f t="shared" si="13"/>
        <v>0</v>
      </c>
      <c r="AH38" s="84">
        <f t="shared" si="14"/>
        <v>1345.3609898827822</v>
      </c>
      <c r="AI38" s="46">
        <f t="shared" si="15"/>
        <v>1345.3609898827822</v>
      </c>
      <c r="AJ38" s="46">
        <f t="shared" si="16"/>
        <v>1173.9978436081929</v>
      </c>
    </row>
    <row r="39" spans="3:41">
      <c r="C39" s="68" t="s">
        <v>117</v>
      </c>
      <c r="D39" s="68"/>
      <c r="E39" s="69">
        <f>SUM(E14:E38)</f>
        <v>121313.58000000002</v>
      </c>
      <c r="F39" s="70">
        <f t="shared" ref="F39:G39" si="18">SUM(F14:F38)</f>
        <v>113359.72000000002</v>
      </c>
      <c r="G39" s="70">
        <f t="shared" si="18"/>
        <v>53807.473322099999</v>
      </c>
      <c r="H39" s="71"/>
      <c r="I39" s="32"/>
      <c r="J39" s="32"/>
      <c r="K39" s="32"/>
      <c r="L39" s="32"/>
      <c r="M39" s="32"/>
      <c r="N39" s="32"/>
      <c r="O39" s="71"/>
      <c r="P39" s="32"/>
      <c r="Q39" s="32"/>
      <c r="R39" s="70">
        <f>SUM(R14:R38)</f>
        <v>203989.08630637042</v>
      </c>
      <c r="S39" s="70">
        <f t="shared" ref="S39:T39" si="19">SUM(S14:S38)</f>
        <v>185451.90397010528</v>
      </c>
      <c r="T39" s="70">
        <f t="shared" si="19"/>
        <v>91029.160905703218</v>
      </c>
      <c r="U39" s="85">
        <f>SUM(U14:U38)</f>
        <v>16430.597227059941</v>
      </c>
      <c r="V39" s="70">
        <f t="shared" ref="V39:AJ39" si="20">SUM(V14:V38)</f>
        <v>15117.581438187666</v>
      </c>
      <c r="W39" s="80">
        <f t="shared" si="20"/>
        <v>7778.1421154634718</v>
      </c>
      <c r="X39" s="85">
        <f t="shared" si="20"/>
        <v>3744.1775860070493</v>
      </c>
      <c r="Y39" s="70">
        <f t="shared" si="20"/>
        <v>3387.6441168363062</v>
      </c>
      <c r="Z39" s="80">
        <f t="shared" si="20"/>
        <v>1728.2965683101402</v>
      </c>
      <c r="AA39" s="70">
        <f>SUM(AA14:AA38)</f>
        <v>4210.9887944479678</v>
      </c>
      <c r="AB39" s="70">
        <f t="shared" ref="AB39:AD39" si="21">SUM(AB14:AB38)</f>
        <v>7955.166380455018</v>
      </c>
      <c r="AC39" s="70">
        <f t="shared" si="21"/>
        <v>7598.632911284275</v>
      </c>
      <c r="AD39" s="70">
        <f t="shared" si="21"/>
        <v>5939.2853627581098</v>
      </c>
      <c r="AE39" s="85">
        <f t="shared" si="20"/>
        <v>1832.5485896158939</v>
      </c>
      <c r="AF39" s="70">
        <f t="shared" si="20"/>
        <v>1664.6685260376655</v>
      </c>
      <c r="AG39" s="80">
        <f t="shared" si="20"/>
        <v>1366.9532872688351</v>
      </c>
      <c r="AH39" s="85">
        <f t="shared" si="20"/>
        <v>26218.31219713085</v>
      </c>
      <c r="AI39" s="70">
        <f t="shared" si="20"/>
        <v>24380.8828755096</v>
      </c>
      <c r="AJ39" s="70">
        <f t="shared" si="20"/>
        <v>15084.380765490414</v>
      </c>
    </row>
    <row r="40" spans="3:41">
      <c r="S40" s="14"/>
      <c r="T40" s="14"/>
      <c r="U40" s="14"/>
      <c r="V40" s="14"/>
    </row>
    <row r="41" spans="3:41">
      <c r="Q41" s="16" t="s">
        <v>415</v>
      </c>
      <c r="S41" s="54" t="s">
        <v>397</v>
      </c>
      <c r="T41" s="51"/>
      <c r="U41" s="51"/>
      <c r="V41" s="51"/>
      <c r="W41" s="51"/>
      <c r="X41" s="51"/>
      <c r="Y41" s="16"/>
      <c r="Z41" s="16"/>
      <c r="AA41" s="16"/>
      <c r="AB41" s="16"/>
      <c r="AC41" s="16"/>
      <c r="AD41" s="16"/>
      <c r="AE41" s="16"/>
      <c r="AF41" s="16"/>
      <c r="AG41" s="16"/>
      <c r="AH41" s="50" t="s">
        <v>416</v>
      </c>
      <c r="AI41" s="50"/>
      <c r="AJ41" s="50"/>
      <c r="AK41" s="16"/>
    </row>
    <row r="42" spans="3:41">
      <c r="O42" s="46"/>
      <c r="P42" s="46"/>
      <c r="Q42" s="46"/>
      <c r="R42" s="46"/>
      <c r="S42" s="55" t="s">
        <v>417</v>
      </c>
      <c r="T42" s="50"/>
      <c r="U42" s="50"/>
      <c r="V42" s="86" t="s">
        <v>418</v>
      </c>
      <c r="W42" s="50"/>
      <c r="X42" s="75"/>
      <c r="AH42" s="52" t="s">
        <v>19</v>
      </c>
      <c r="AI42" s="52" t="s">
        <v>48</v>
      </c>
      <c r="AJ42" s="52" t="s">
        <v>49</v>
      </c>
    </row>
    <row r="43" spans="3:41">
      <c r="H43" s="36"/>
      <c r="I43" s="36"/>
      <c r="J43" s="36"/>
      <c r="S43" s="56" t="s">
        <v>19</v>
      </c>
      <c r="T43" s="52" t="s">
        <v>48</v>
      </c>
      <c r="U43" s="52" t="s">
        <v>49</v>
      </c>
      <c r="V43" s="81" t="s">
        <v>19</v>
      </c>
      <c r="W43" s="52" t="s">
        <v>48</v>
      </c>
      <c r="X43" s="76" t="s">
        <v>49</v>
      </c>
      <c r="AH43" s="53" t="s">
        <v>81</v>
      </c>
      <c r="AI43" s="53" t="s">
        <v>81</v>
      </c>
      <c r="AJ43" s="53" t="s">
        <v>81</v>
      </c>
    </row>
    <row r="44" spans="3:41">
      <c r="H44" s="36"/>
      <c r="I44" s="36"/>
      <c r="J44" s="36"/>
      <c r="S44" s="57" t="s">
        <v>81</v>
      </c>
      <c r="T44" s="53" t="s">
        <v>81</v>
      </c>
      <c r="U44" s="53" t="s">
        <v>81</v>
      </c>
      <c r="V44" s="82" t="s">
        <v>81</v>
      </c>
      <c r="W44" s="53" t="s">
        <v>81</v>
      </c>
      <c r="X44" s="77" t="s">
        <v>81</v>
      </c>
      <c r="AH44" s="64">
        <f>AH39+INDEX(PlexosVOMs!$H$11:$H$13, MATCH(AH42, PlexosVOMs!$B$11:$B$13, 0))</f>
        <v>31971.612446966828</v>
      </c>
      <c r="AI44" s="65">
        <f>AI39+INDEX(PlexosVOMs!$H$11:$H$13, MATCH(AI42, PlexosVOMs!$B$11:$B$13, 0))</f>
        <v>30582.069518730274</v>
      </c>
      <c r="AJ44" s="65">
        <f>AJ39+INDEX(PlexosVOMs!$H$11:$H$13, MATCH(AJ42, PlexosVOMs!$B$11:$B$13, 0))</f>
        <v>25974.764639794463</v>
      </c>
    </row>
    <row r="45" spans="3:41">
      <c r="H45" s="36"/>
      <c r="I45" s="36"/>
      <c r="J45" s="36"/>
      <c r="S45" s="71"/>
      <c r="T45" s="32"/>
      <c r="U45" s="32"/>
      <c r="V45" s="32"/>
      <c r="W45" s="32"/>
      <c r="X45" s="110"/>
      <c r="AL45" s="60"/>
      <c r="AM45" s="60"/>
      <c r="AN45" s="60"/>
      <c r="AO45" s="60"/>
    </row>
    <row r="46" spans="3:41">
      <c r="G46" s="16"/>
      <c r="H46" s="112"/>
      <c r="I46" s="113"/>
      <c r="J46" s="113"/>
      <c r="R46" s="16" t="s">
        <v>21</v>
      </c>
      <c r="S46" s="109">
        <f t="shared" ref="S46:S70" si="22">(E14*$I14)/10^6</f>
        <v>0</v>
      </c>
      <c r="T46">
        <f t="shared" ref="T46:T70" si="23">(F14*$I14)/10^6</f>
        <v>0</v>
      </c>
      <c r="U46">
        <f t="shared" ref="U46:U70" si="24">(G14*$I14)/10^6</f>
        <v>0</v>
      </c>
      <c r="V46" s="84">
        <f>(-PMT($N14,$M14,E14*$I14))/10^6</f>
        <v>0</v>
      </c>
      <c r="W46" s="46">
        <f t="shared" ref="W46:W70" si="25">(-PMT($N14,$M14,F14*$I14))/10^6</f>
        <v>0</v>
      </c>
      <c r="X46" s="79">
        <f t="shared" ref="X46:X70" si="26">(-PMT($N14,$M14,G14*$I14))/10^6</f>
        <v>0</v>
      </c>
      <c r="AN46" s="46"/>
    </row>
    <row r="47" spans="3:41">
      <c r="G47" s="16"/>
      <c r="H47" s="112"/>
      <c r="I47" s="113"/>
      <c r="J47" s="113"/>
      <c r="R47" s="16" t="s">
        <v>24</v>
      </c>
      <c r="S47" s="58">
        <f t="shared" si="22"/>
        <v>9803.3769237832857</v>
      </c>
      <c r="T47" s="13">
        <f t="shared" si="23"/>
        <v>9803.3769237832857</v>
      </c>
      <c r="U47" s="13">
        <f t="shared" si="24"/>
        <v>9803.3769237832857</v>
      </c>
      <c r="V47" s="84">
        <f t="shared" ref="V47:V70" si="27">(-PMT($N15,$M15,E15*$I15))/10^6</f>
        <v>983.56799551580889</v>
      </c>
      <c r="W47" s="46">
        <f t="shared" si="25"/>
        <v>983.56799551580889</v>
      </c>
      <c r="X47" s="79">
        <f t="shared" si="26"/>
        <v>983.56799551580889</v>
      </c>
    </row>
    <row r="48" spans="3:41">
      <c r="G48" s="16"/>
      <c r="H48" s="112"/>
      <c r="I48" s="113"/>
      <c r="J48" s="113"/>
      <c r="R48" s="16" t="s">
        <v>25</v>
      </c>
      <c r="S48" s="58">
        <f t="shared" si="22"/>
        <v>17043.67858671489</v>
      </c>
      <c r="T48" s="13">
        <f t="shared" si="23"/>
        <v>17042.620556369089</v>
      </c>
      <c r="U48" s="13">
        <f t="shared" si="24"/>
        <v>3612.2743051164448</v>
      </c>
      <c r="V48" s="84">
        <f t="shared" si="27"/>
        <v>1040.886548784556</v>
      </c>
      <c r="W48" s="46">
        <f t="shared" si="25"/>
        <v>1040.8219330650359</v>
      </c>
      <c r="X48" s="79">
        <f t="shared" si="26"/>
        <v>220.60775879959297</v>
      </c>
    </row>
    <row r="49" spans="7:24">
      <c r="G49" s="16"/>
      <c r="H49" s="112"/>
      <c r="I49" s="113"/>
      <c r="J49" s="113"/>
      <c r="R49" s="16" t="s">
        <v>26</v>
      </c>
      <c r="S49" s="58">
        <f t="shared" si="22"/>
        <v>3103.78742062733</v>
      </c>
      <c r="T49" s="13">
        <f t="shared" si="23"/>
        <v>3103.78742062733</v>
      </c>
      <c r="U49" s="13">
        <f t="shared" si="24"/>
        <v>5093.4948246817839</v>
      </c>
      <c r="V49" s="84">
        <f t="shared" si="27"/>
        <v>226.76972546495986</v>
      </c>
      <c r="W49" s="46">
        <f t="shared" si="25"/>
        <v>226.76972546495986</v>
      </c>
      <c r="X49" s="79">
        <f t="shared" si="26"/>
        <v>372.14224639676706</v>
      </c>
    </row>
    <row r="50" spans="7:24">
      <c r="G50" s="16"/>
      <c r="H50" s="112"/>
      <c r="I50" s="113"/>
      <c r="J50" s="113"/>
      <c r="R50" s="16" t="s">
        <v>216</v>
      </c>
      <c r="S50" s="58">
        <f t="shared" si="22"/>
        <v>5662.6308489006078</v>
      </c>
      <c r="T50" s="13">
        <f t="shared" si="23"/>
        <v>5662.6308489006078</v>
      </c>
      <c r="U50" s="13">
        <f t="shared" si="24"/>
        <v>0</v>
      </c>
      <c r="V50" s="84">
        <f t="shared" si="27"/>
        <v>450.30869987897535</v>
      </c>
      <c r="W50" s="46">
        <f t="shared" si="25"/>
        <v>450.30869987897535</v>
      </c>
      <c r="X50" s="79">
        <f t="shared" si="26"/>
        <v>0</v>
      </c>
    </row>
    <row r="51" spans="7:24">
      <c r="G51" s="16"/>
      <c r="H51" s="112"/>
      <c r="I51" s="113"/>
      <c r="J51" s="113"/>
      <c r="R51" s="16" t="s">
        <v>209</v>
      </c>
      <c r="S51" s="58">
        <f t="shared" si="22"/>
        <v>1710.2101446526865</v>
      </c>
      <c r="T51" s="13">
        <f t="shared" si="23"/>
        <v>1710.2101446526865</v>
      </c>
      <c r="U51" s="13">
        <f t="shared" si="24"/>
        <v>2269.8895696167419</v>
      </c>
      <c r="V51" s="84">
        <f t="shared" si="27"/>
        <v>174.11008242591438</v>
      </c>
      <c r="W51" s="46">
        <f t="shared" si="25"/>
        <v>174.11008242591438</v>
      </c>
      <c r="X51" s="79">
        <f t="shared" si="26"/>
        <v>231.08894617389521</v>
      </c>
    </row>
    <row r="52" spans="7:24">
      <c r="G52" s="16"/>
      <c r="H52" s="112"/>
      <c r="I52" s="113"/>
      <c r="J52" s="113"/>
      <c r="R52" s="16" t="s">
        <v>210</v>
      </c>
      <c r="S52" s="58">
        <f t="shared" si="22"/>
        <v>130.66622294036696</v>
      </c>
      <c r="T52" s="13">
        <f t="shared" si="23"/>
        <v>130.66622294036696</v>
      </c>
      <c r="U52" s="13">
        <f t="shared" si="24"/>
        <v>0</v>
      </c>
      <c r="V52" s="84">
        <f t="shared" si="27"/>
        <v>13.302638226982559</v>
      </c>
      <c r="W52" s="46">
        <f t="shared" si="25"/>
        <v>13.302638226982559</v>
      </c>
      <c r="X52" s="79">
        <f t="shared" si="26"/>
        <v>0</v>
      </c>
    </row>
    <row r="53" spans="7:24">
      <c r="G53" s="111"/>
      <c r="H53" s="114"/>
      <c r="I53" s="113"/>
      <c r="J53" s="113"/>
      <c r="R53" s="16" t="s">
        <v>29</v>
      </c>
      <c r="S53" s="58">
        <f t="shared" si="22"/>
        <v>0</v>
      </c>
      <c r="T53" s="13">
        <f t="shared" si="23"/>
        <v>0</v>
      </c>
      <c r="U53" s="13">
        <f t="shared" si="24"/>
        <v>0</v>
      </c>
      <c r="V53" s="84">
        <f t="shared" si="27"/>
        <v>0</v>
      </c>
      <c r="W53" s="46">
        <f t="shared" si="25"/>
        <v>0</v>
      </c>
      <c r="X53" s="79">
        <f t="shared" si="26"/>
        <v>0</v>
      </c>
    </row>
    <row r="54" spans="7:24">
      <c r="G54" s="111"/>
      <c r="H54" s="114"/>
      <c r="I54" s="113"/>
      <c r="J54" s="113"/>
      <c r="R54" s="16" t="s">
        <v>30</v>
      </c>
      <c r="S54" s="58">
        <f t="shared" si="22"/>
        <v>0</v>
      </c>
      <c r="T54" s="13">
        <f t="shared" si="23"/>
        <v>0</v>
      </c>
      <c r="U54" s="13">
        <f t="shared" si="24"/>
        <v>0</v>
      </c>
      <c r="V54" s="84">
        <f t="shared" si="27"/>
        <v>0</v>
      </c>
      <c r="W54" s="46">
        <f t="shared" si="25"/>
        <v>0</v>
      </c>
      <c r="X54" s="79">
        <f t="shared" si="26"/>
        <v>0</v>
      </c>
    </row>
    <row r="55" spans="7:24">
      <c r="G55" s="111"/>
      <c r="H55" s="114"/>
      <c r="I55" s="113"/>
      <c r="J55" s="113"/>
      <c r="R55" s="16" t="s">
        <v>31</v>
      </c>
      <c r="S55" s="58">
        <f t="shared" si="22"/>
        <v>0</v>
      </c>
      <c r="T55" s="13">
        <f t="shared" si="23"/>
        <v>892.10229357798164</v>
      </c>
      <c r="U55" s="13">
        <f t="shared" si="24"/>
        <v>0</v>
      </c>
      <c r="V55" s="84">
        <f t="shared" si="27"/>
        <v>0</v>
      </c>
      <c r="W55" s="46">
        <f t="shared" si="25"/>
        <v>90.821589588192509</v>
      </c>
      <c r="X55" s="79">
        <f t="shared" si="26"/>
        <v>0</v>
      </c>
    </row>
    <row r="56" spans="7:24">
      <c r="G56" s="111"/>
      <c r="H56" s="114"/>
      <c r="I56" s="113"/>
      <c r="J56" s="113"/>
      <c r="R56" s="16" t="s">
        <v>32</v>
      </c>
      <c r="S56" s="58">
        <f t="shared" si="22"/>
        <v>631.50384842883557</v>
      </c>
      <c r="T56" s="13">
        <f t="shared" si="23"/>
        <v>1263.0076968576711</v>
      </c>
      <c r="U56" s="13">
        <f t="shared" si="24"/>
        <v>0</v>
      </c>
      <c r="V56" s="84">
        <f t="shared" si="27"/>
        <v>66.989453509976144</v>
      </c>
      <c r="W56" s="46">
        <f t="shared" si="25"/>
        <v>133.97890701995229</v>
      </c>
      <c r="X56" s="79">
        <f t="shared" si="26"/>
        <v>0</v>
      </c>
    </row>
    <row r="57" spans="7:24">
      <c r="G57" s="111"/>
      <c r="H57" s="114"/>
      <c r="I57" s="113"/>
      <c r="J57" s="113"/>
      <c r="R57" s="16" t="s">
        <v>33</v>
      </c>
      <c r="S57" s="58">
        <f t="shared" si="22"/>
        <v>0</v>
      </c>
      <c r="T57" s="13">
        <f t="shared" si="23"/>
        <v>3936.435240252998</v>
      </c>
      <c r="U57" s="13">
        <f t="shared" si="24"/>
        <v>0</v>
      </c>
      <c r="V57" s="84">
        <f t="shared" si="27"/>
        <v>0</v>
      </c>
      <c r="W57" s="46">
        <f t="shared" si="25"/>
        <v>400.75371221933119</v>
      </c>
      <c r="X57" s="79">
        <f t="shared" si="26"/>
        <v>0</v>
      </c>
    </row>
    <row r="58" spans="7:24">
      <c r="G58" s="111"/>
      <c r="H58" s="114"/>
      <c r="I58" s="113"/>
      <c r="J58" s="113"/>
      <c r="R58" s="16" t="s">
        <v>34</v>
      </c>
      <c r="S58" s="58">
        <f t="shared" si="22"/>
        <v>1046.6996009174318</v>
      </c>
      <c r="T58" s="13">
        <f t="shared" si="23"/>
        <v>1046.6996009174318</v>
      </c>
      <c r="U58" s="13">
        <f t="shared" si="24"/>
        <v>2378.4226010091747</v>
      </c>
      <c r="V58" s="84">
        <f t="shared" si="27"/>
        <v>115.64891727325939</v>
      </c>
      <c r="W58" s="46">
        <f t="shared" si="25"/>
        <v>115.64891727325939</v>
      </c>
      <c r="X58" s="79">
        <f t="shared" si="26"/>
        <v>262.78981895461578</v>
      </c>
    </row>
    <row r="59" spans="7:24">
      <c r="G59" s="111"/>
      <c r="H59" s="114"/>
      <c r="I59" s="113"/>
      <c r="J59" s="113"/>
      <c r="R59" s="16" t="s">
        <v>35</v>
      </c>
      <c r="S59" s="58">
        <f t="shared" si="22"/>
        <v>803.62570223931516</v>
      </c>
      <c r="T59" s="13">
        <f t="shared" si="23"/>
        <v>803.62570223931516</v>
      </c>
      <c r="U59" s="13">
        <f t="shared" si="24"/>
        <v>648.27798284732876</v>
      </c>
      <c r="V59" s="84">
        <f t="shared" si="27"/>
        <v>69.581899209199292</v>
      </c>
      <c r="W59" s="46">
        <f t="shared" si="25"/>
        <v>69.581899209199292</v>
      </c>
      <c r="X59" s="79">
        <f t="shared" si="26"/>
        <v>56.131123153889419</v>
      </c>
    </row>
    <row r="60" spans="7:24">
      <c r="G60" s="111"/>
      <c r="H60" s="114"/>
      <c r="I60" s="113"/>
      <c r="J60" s="113"/>
      <c r="R60" s="16" t="s">
        <v>36</v>
      </c>
      <c r="S60" s="58">
        <f t="shared" si="22"/>
        <v>0</v>
      </c>
      <c r="T60" s="13">
        <f t="shared" si="23"/>
        <v>0</v>
      </c>
      <c r="U60" s="13">
        <f t="shared" si="24"/>
        <v>0</v>
      </c>
      <c r="V60" s="84">
        <f t="shared" si="27"/>
        <v>0</v>
      </c>
      <c r="W60" s="46">
        <f t="shared" si="25"/>
        <v>0</v>
      </c>
      <c r="X60" s="79">
        <f t="shared" si="26"/>
        <v>0</v>
      </c>
    </row>
    <row r="61" spans="7:24">
      <c r="G61" s="111"/>
      <c r="H61" s="114"/>
      <c r="I61" s="113"/>
      <c r="J61" s="113"/>
      <c r="R61" s="16" t="s">
        <v>37</v>
      </c>
      <c r="S61" s="58">
        <f t="shared" si="22"/>
        <v>83434.350414758213</v>
      </c>
      <c r="T61" s="13">
        <f t="shared" si="23"/>
        <v>65456.560410007231</v>
      </c>
      <c r="U61" s="13">
        <f t="shared" si="24"/>
        <v>30746.079638935294</v>
      </c>
      <c r="V61" s="84">
        <f t="shared" si="27"/>
        <v>6257.2527153645278</v>
      </c>
      <c r="W61" s="46">
        <f t="shared" si="25"/>
        <v>4908.9881844575621</v>
      </c>
      <c r="X61" s="79">
        <f t="shared" si="26"/>
        <v>2305.8367369216294</v>
      </c>
    </row>
    <row r="62" spans="7:24">
      <c r="G62" s="111"/>
      <c r="H62" s="114"/>
      <c r="I62" s="113"/>
      <c r="J62" s="113"/>
      <c r="R62" s="16" t="s">
        <v>38</v>
      </c>
      <c r="S62" s="58">
        <f t="shared" si="22"/>
        <v>22740.328637794602</v>
      </c>
      <c r="T62" s="13">
        <f t="shared" si="23"/>
        <v>22743.890617664889</v>
      </c>
      <c r="U62" s="13">
        <f t="shared" si="24"/>
        <v>11086.678991042905</v>
      </c>
      <c r="V62" s="84">
        <f t="shared" si="27"/>
        <v>1645.9760376034574</v>
      </c>
      <c r="W62" s="46">
        <f t="shared" si="25"/>
        <v>1646.2338585701771</v>
      </c>
      <c r="X62" s="79">
        <f t="shared" si="26"/>
        <v>802.46896368636044</v>
      </c>
    </row>
    <row r="63" spans="7:24">
      <c r="G63" s="111"/>
      <c r="H63" s="114"/>
      <c r="I63" s="113"/>
      <c r="J63" s="113"/>
      <c r="R63" s="16" t="s">
        <v>39</v>
      </c>
      <c r="S63" s="58">
        <f t="shared" si="22"/>
        <v>3882.6307000000006</v>
      </c>
      <c r="T63" s="13">
        <f t="shared" si="23"/>
        <v>2005.5653666666665</v>
      </c>
      <c r="U63" s="13">
        <f t="shared" si="24"/>
        <v>0</v>
      </c>
      <c r="V63" s="84">
        <f t="shared" si="27"/>
        <v>299.2437060929534</v>
      </c>
      <c r="W63" s="46">
        <f t="shared" si="25"/>
        <v>154.5737566884757</v>
      </c>
      <c r="X63" s="79">
        <f t="shared" si="26"/>
        <v>0</v>
      </c>
    </row>
    <row r="64" spans="7:24">
      <c r="G64" s="111"/>
      <c r="H64" s="114"/>
      <c r="I64" s="113"/>
      <c r="J64" s="113"/>
      <c r="R64" s="16" t="s">
        <v>40</v>
      </c>
      <c r="S64" s="58">
        <f t="shared" si="22"/>
        <v>29.816041100917602</v>
      </c>
      <c r="T64" s="13">
        <f t="shared" si="23"/>
        <v>29.816041100917602</v>
      </c>
      <c r="U64" s="13">
        <f t="shared" si="24"/>
        <v>29.816041100917602</v>
      </c>
      <c r="V64" s="84">
        <f t="shared" si="27"/>
        <v>1.8208345960608634</v>
      </c>
      <c r="W64" s="46">
        <f t="shared" si="25"/>
        <v>1.8208345960608634</v>
      </c>
      <c r="X64" s="79">
        <f t="shared" si="26"/>
        <v>1.8208345960608634</v>
      </c>
    </row>
    <row r="65" spans="7:24">
      <c r="G65" s="111"/>
      <c r="H65" s="114"/>
      <c r="I65" s="113"/>
      <c r="J65" s="113"/>
      <c r="R65" s="16" t="s">
        <v>41</v>
      </c>
      <c r="S65" s="58">
        <f t="shared" si="22"/>
        <v>46.331126164288953</v>
      </c>
      <c r="T65" s="13">
        <f t="shared" si="23"/>
        <v>46.331126164288953</v>
      </c>
      <c r="U65" s="13">
        <f t="shared" si="24"/>
        <v>11.914834300259674</v>
      </c>
      <c r="V65" s="84">
        <f t="shared" si="27"/>
        <v>2.8293936511846884</v>
      </c>
      <c r="W65" s="46">
        <f t="shared" si="25"/>
        <v>2.8293936511846884</v>
      </c>
      <c r="X65" s="79">
        <f t="shared" si="26"/>
        <v>0.727626529183238</v>
      </c>
    </row>
    <row r="66" spans="7:24">
      <c r="G66" s="111"/>
      <c r="H66" s="114"/>
      <c r="I66" s="113"/>
      <c r="J66" s="113"/>
      <c r="R66" s="16" t="s">
        <v>42</v>
      </c>
      <c r="S66" s="58">
        <f t="shared" si="22"/>
        <v>0</v>
      </c>
      <c r="T66" s="13">
        <f t="shared" si="23"/>
        <v>0</v>
      </c>
      <c r="U66" s="13">
        <f t="shared" si="24"/>
        <v>0</v>
      </c>
      <c r="V66" s="84">
        <f t="shared" si="27"/>
        <v>0</v>
      </c>
      <c r="W66" s="46">
        <f t="shared" si="25"/>
        <v>0</v>
      </c>
      <c r="X66" s="79">
        <f t="shared" si="26"/>
        <v>0</v>
      </c>
    </row>
    <row r="67" spans="7:24">
      <c r="G67" s="111"/>
      <c r="H67" s="114"/>
      <c r="I67" s="113"/>
      <c r="J67" s="113"/>
      <c r="R67" s="16" t="s">
        <v>43</v>
      </c>
      <c r="S67" s="58">
        <f t="shared" si="22"/>
        <v>1279.1615953645583</v>
      </c>
      <c r="T67" s="13">
        <f t="shared" si="23"/>
        <v>1279.1615953645583</v>
      </c>
      <c r="U67" s="13">
        <f t="shared" si="24"/>
        <v>81.503000482858525</v>
      </c>
      <c r="V67" s="84">
        <f t="shared" si="27"/>
        <v>134.47087109815018</v>
      </c>
      <c r="W67" s="46">
        <f t="shared" si="25"/>
        <v>134.47087109815018</v>
      </c>
      <c r="X67" s="79">
        <f t="shared" si="26"/>
        <v>8.5679397440942004</v>
      </c>
    </row>
    <row r="68" spans="7:24">
      <c r="G68" s="111"/>
      <c r="H68" s="114"/>
      <c r="I68" s="113"/>
      <c r="J68" s="113"/>
      <c r="R68" s="16" t="s">
        <v>44</v>
      </c>
      <c r="S68" s="58">
        <f t="shared" si="22"/>
        <v>80.369916055045877</v>
      </c>
      <c r="T68" s="13">
        <f t="shared" si="23"/>
        <v>80.369916055045877</v>
      </c>
      <c r="U68" s="13">
        <f t="shared" si="24"/>
        <v>0</v>
      </c>
      <c r="V68" s="84">
        <f t="shared" si="27"/>
        <v>8.8800012582043664</v>
      </c>
      <c r="W68" s="46">
        <f t="shared" si="25"/>
        <v>8.8800012582043664</v>
      </c>
      <c r="X68" s="79">
        <f t="shared" si="26"/>
        <v>0</v>
      </c>
    </row>
    <row r="69" spans="7:24">
      <c r="G69" s="16"/>
      <c r="H69" s="112"/>
      <c r="I69" s="113"/>
      <c r="J69" s="113"/>
      <c r="R69" s="16" t="s">
        <v>204</v>
      </c>
      <c r="S69" s="58">
        <f t="shared" si="22"/>
        <v>20523.512234370042</v>
      </c>
      <c r="T69" s="13">
        <f t="shared" si="23"/>
        <v>18898.215137082327</v>
      </c>
      <c r="U69" s="13">
        <f t="shared" si="24"/>
        <v>11975.717234372531</v>
      </c>
      <c r="V69" s="84">
        <f t="shared" si="27"/>
        <v>2397.7525948302919</v>
      </c>
      <c r="W69" s="46">
        <f t="shared" si="25"/>
        <v>2207.8698745683337</v>
      </c>
      <c r="X69" s="79">
        <f t="shared" si="26"/>
        <v>1399.1175947741951</v>
      </c>
    </row>
    <row r="70" spans="7:24">
      <c r="G70" s="16"/>
      <c r="H70" s="112"/>
      <c r="I70" s="113"/>
      <c r="J70" s="113"/>
      <c r="R70" s="16" t="s">
        <v>217</v>
      </c>
      <c r="S70" s="58">
        <f t="shared" si="22"/>
        <v>7100.3596164354922</v>
      </c>
      <c r="T70" s="13">
        <f t="shared" si="23"/>
        <v>7100.3596164354922</v>
      </c>
      <c r="U70" s="13">
        <f t="shared" si="24"/>
        <v>5785.4782059844747</v>
      </c>
      <c r="V70" s="84">
        <f t="shared" si="27"/>
        <v>722.86098988278229</v>
      </c>
      <c r="W70" s="46">
        <f t="shared" si="25"/>
        <v>722.86098988278229</v>
      </c>
      <c r="X70" s="79">
        <f t="shared" si="26"/>
        <v>588.99784360819297</v>
      </c>
    </row>
    <row r="71" spans="7:24">
      <c r="S71" s="70">
        <f>SUM(S46:S70)</f>
        <v>179053.03958124793</v>
      </c>
      <c r="T71" s="70">
        <f>SUM(T46:T70)</f>
        <v>163035.43247766016</v>
      </c>
      <c r="U71" s="70">
        <f>SUM(U46:U70)</f>
        <v>83522.924153273983</v>
      </c>
      <c r="V71" s="70">
        <f t="shared" ref="V71:X71" si="28">SUM(V46:V70)</f>
        <v>14612.253104667247</v>
      </c>
      <c r="W71" s="70">
        <f t="shared" si="28"/>
        <v>13488.193864658544</v>
      </c>
      <c r="X71" s="70">
        <f t="shared" si="28"/>
        <v>7233.8654288542857</v>
      </c>
    </row>
    <row r="73" spans="7:24">
      <c r="S73" s="54" t="s">
        <v>397</v>
      </c>
      <c r="T73" s="51"/>
      <c r="U73" s="51"/>
      <c r="V73" s="51"/>
      <c r="W73" s="51"/>
      <c r="X73" s="51"/>
    </row>
    <row r="74" spans="7:24">
      <c r="S74" s="55" t="s">
        <v>420</v>
      </c>
      <c r="T74" s="50"/>
      <c r="U74" s="50"/>
      <c r="V74" s="86" t="s">
        <v>421</v>
      </c>
      <c r="W74" s="50"/>
      <c r="X74" s="75"/>
    </row>
    <row r="75" spans="7:24">
      <c r="S75" s="56" t="s">
        <v>19</v>
      </c>
      <c r="T75" s="52" t="s">
        <v>48</v>
      </c>
      <c r="U75" s="52" t="s">
        <v>49</v>
      </c>
      <c r="V75" s="81" t="s">
        <v>19</v>
      </c>
      <c r="W75" s="52" t="s">
        <v>48</v>
      </c>
      <c r="X75" s="76" t="s">
        <v>49</v>
      </c>
    </row>
    <row r="76" spans="7:24">
      <c r="S76" s="57" t="s">
        <v>81</v>
      </c>
      <c r="T76" s="53" t="s">
        <v>81</v>
      </c>
      <c r="U76" s="53" t="s">
        <v>81</v>
      </c>
      <c r="V76" s="82" t="s">
        <v>81</v>
      </c>
      <c r="W76" s="53" t="s">
        <v>81</v>
      </c>
      <c r="X76" s="77" t="s">
        <v>81</v>
      </c>
    </row>
    <row r="77" spans="7:24">
      <c r="S77" s="71"/>
      <c r="T77" s="32"/>
      <c r="U77" s="32"/>
      <c r="V77" s="83"/>
      <c r="W77" s="74"/>
      <c r="X77" s="78"/>
    </row>
    <row r="78" spans="7:24">
      <c r="R78" s="16" t="s">
        <v>21</v>
      </c>
      <c r="S78" s="59">
        <f t="shared" ref="S78:S102" si="29">(E14*$J14)/10^6</f>
        <v>0</v>
      </c>
      <c r="T78" s="46">
        <f t="shared" ref="T78:T102" si="30">(F14*$J14)/10^6</f>
        <v>0</v>
      </c>
      <c r="U78" s="46">
        <f t="shared" ref="U78:U102" si="31">(G14*$J14)/10^6</f>
        <v>0</v>
      </c>
      <c r="V78" s="84">
        <f t="shared" ref="V78:V102" si="32">(-PMT($N14,$M14,E14*$J14))/10^6</f>
        <v>0</v>
      </c>
      <c r="W78" s="46">
        <f t="shared" ref="W78:W102" si="33">(-PMT($N14,$M14,F14*$J14))/10^6</f>
        <v>0</v>
      </c>
      <c r="X78" s="79">
        <f t="shared" ref="X78:X102" si="34">(-PMT($N14,$M14,G14*$J14))/10^6</f>
        <v>0</v>
      </c>
    </row>
    <row r="79" spans="7:24">
      <c r="R79" s="16" t="s">
        <v>24</v>
      </c>
      <c r="S79" s="59">
        <f t="shared" si="29"/>
        <v>9803.3769237832857</v>
      </c>
      <c r="T79" s="46">
        <f t="shared" si="30"/>
        <v>9803.3769237832857</v>
      </c>
      <c r="U79" s="46">
        <f t="shared" si="31"/>
        <v>9803.3769237832857</v>
      </c>
      <c r="V79" s="84">
        <f t="shared" si="32"/>
        <v>983.56799551580889</v>
      </c>
      <c r="W79" s="46">
        <f t="shared" si="33"/>
        <v>983.56799551580889</v>
      </c>
      <c r="X79" s="79">
        <f t="shared" si="34"/>
        <v>983.56799551580889</v>
      </c>
    </row>
    <row r="80" spans="7:24">
      <c r="R80" s="16" t="s">
        <v>25</v>
      </c>
      <c r="S80" s="59">
        <f t="shared" si="29"/>
        <v>21561.280139820046</v>
      </c>
      <c r="T80" s="46">
        <f t="shared" si="30"/>
        <v>21559.941667695839</v>
      </c>
      <c r="U80" s="46">
        <f t="shared" si="31"/>
        <v>4569.7446028581535</v>
      </c>
      <c r="V80" s="84">
        <f t="shared" si="32"/>
        <v>1316.7841882214266</v>
      </c>
      <c r="W80" s="46">
        <f t="shared" si="33"/>
        <v>1316.7024454437203</v>
      </c>
      <c r="X80" s="79">
        <f t="shared" si="34"/>
        <v>279.08210450550922</v>
      </c>
    </row>
    <row r="81" spans="18:24">
      <c r="R81" s="16" t="s">
        <v>26</v>
      </c>
      <c r="S81" s="59">
        <f t="shared" si="29"/>
        <v>3103.78742062733</v>
      </c>
      <c r="T81" s="46">
        <f t="shared" si="30"/>
        <v>3103.78742062733</v>
      </c>
      <c r="U81" s="46">
        <f t="shared" si="31"/>
        <v>5093.4948246817839</v>
      </c>
      <c r="V81" s="84">
        <f t="shared" si="32"/>
        <v>226.76972546495986</v>
      </c>
      <c r="W81" s="46">
        <f t="shared" si="33"/>
        <v>226.76972546495986</v>
      </c>
      <c r="X81" s="79">
        <f t="shared" si="34"/>
        <v>372.14224639676706</v>
      </c>
    </row>
    <row r="82" spans="18:24">
      <c r="R82" s="16" t="s">
        <v>216</v>
      </c>
      <c r="S82" s="59">
        <f t="shared" si="29"/>
        <v>11977.306023960607</v>
      </c>
      <c r="T82" s="46">
        <f t="shared" si="30"/>
        <v>11977.306023960607</v>
      </c>
      <c r="U82" s="46">
        <f t="shared" si="31"/>
        <v>0</v>
      </c>
      <c r="V82" s="84">
        <f t="shared" si="32"/>
        <v>952.46984089550142</v>
      </c>
      <c r="W82" s="46">
        <f t="shared" si="33"/>
        <v>952.46984089550142</v>
      </c>
      <c r="X82" s="79">
        <f t="shared" si="34"/>
        <v>0</v>
      </c>
    </row>
    <row r="83" spans="18:24">
      <c r="R83" s="16" t="s">
        <v>209</v>
      </c>
      <c r="S83" s="59">
        <f t="shared" si="29"/>
        <v>1710.2101446526865</v>
      </c>
      <c r="T83" s="46">
        <f t="shared" si="30"/>
        <v>1710.2101446526865</v>
      </c>
      <c r="U83" s="46">
        <f t="shared" si="31"/>
        <v>2269.8895696167419</v>
      </c>
      <c r="V83" s="84">
        <f t="shared" si="32"/>
        <v>174.11008242591438</v>
      </c>
      <c r="W83" s="46">
        <f t="shared" si="33"/>
        <v>174.11008242591438</v>
      </c>
      <c r="X83" s="79">
        <f t="shared" si="34"/>
        <v>231.08894617389521</v>
      </c>
    </row>
    <row r="84" spans="18:24">
      <c r="R84" s="16" t="s">
        <v>210</v>
      </c>
      <c r="S84" s="59">
        <f t="shared" si="29"/>
        <v>130.66622294036696</v>
      </c>
      <c r="T84" s="46">
        <f t="shared" si="30"/>
        <v>130.66622294036696</v>
      </c>
      <c r="U84" s="46">
        <f t="shared" si="31"/>
        <v>0</v>
      </c>
      <c r="V84" s="84">
        <f t="shared" si="32"/>
        <v>13.302638226982559</v>
      </c>
      <c r="W84" s="46">
        <f t="shared" si="33"/>
        <v>13.302638226982559</v>
      </c>
      <c r="X84" s="79">
        <f t="shared" si="34"/>
        <v>0</v>
      </c>
    </row>
    <row r="85" spans="18:24">
      <c r="R85" s="16" t="s">
        <v>29</v>
      </c>
      <c r="S85" s="59">
        <f t="shared" si="29"/>
        <v>0</v>
      </c>
      <c r="T85" s="46">
        <f t="shared" si="30"/>
        <v>0</v>
      </c>
      <c r="U85" s="46">
        <f t="shared" si="31"/>
        <v>0</v>
      </c>
      <c r="V85" s="84">
        <f t="shared" si="32"/>
        <v>0</v>
      </c>
      <c r="W85" s="46">
        <f t="shared" si="33"/>
        <v>0</v>
      </c>
      <c r="X85" s="79">
        <f t="shared" si="34"/>
        <v>0</v>
      </c>
    </row>
    <row r="86" spans="18:24">
      <c r="R86" s="16" t="s">
        <v>30</v>
      </c>
      <c r="S86" s="59">
        <f t="shared" si="29"/>
        <v>0</v>
      </c>
      <c r="T86" s="46">
        <f t="shared" si="30"/>
        <v>0</v>
      </c>
      <c r="U86" s="46">
        <f t="shared" si="31"/>
        <v>0</v>
      </c>
      <c r="V86" s="84">
        <f t="shared" si="32"/>
        <v>0</v>
      </c>
      <c r="W86" s="46">
        <f t="shared" si="33"/>
        <v>0</v>
      </c>
      <c r="X86" s="79">
        <f t="shared" si="34"/>
        <v>0</v>
      </c>
    </row>
    <row r="87" spans="18:24">
      <c r="R87" s="16" t="s">
        <v>31</v>
      </c>
      <c r="S87" s="59">
        <f t="shared" si="29"/>
        <v>0</v>
      </c>
      <c r="T87" s="46">
        <f t="shared" si="30"/>
        <v>892.10229357798164</v>
      </c>
      <c r="U87" s="46">
        <f t="shared" si="31"/>
        <v>0</v>
      </c>
      <c r="V87" s="84">
        <f t="shared" si="32"/>
        <v>0</v>
      </c>
      <c r="W87" s="46">
        <f t="shared" si="33"/>
        <v>90.821589588192509</v>
      </c>
      <c r="X87" s="79">
        <f t="shared" si="34"/>
        <v>0</v>
      </c>
    </row>
    <row r="88" spans="18:24">
      <c r="R88" s="16" t="s">
        <v>32</v>
      </c>
      <c r="S88" s="59">
        <f t="shared" si="29"/>
        <v>631.50384842883557</v>
      </c>
      <c r="T88" s="46">
        <f t="shared" si="30"/>
        <v>1263.0076968576711</v>
      </c>
      <c r="U88" s="46">
        <f t="shared" si="31"/>
        <v>0</v>
      </c>
      <c r="V88" s="84">
        <f t="shared" si="32"/>
        <v>66.989453509976144</v>
      </c>
      <c r="W88" s="46">
        <f t="shared" si="33"/>
        <v>133.97890701995229</v>
      </c>
      <c r="X88" s="79">
        <f t="shared" si="34"/>
        <v>0</v>
      </c>
    </row>
    <row r="89" spans="18:24">
      <c r="R89" s="16" t="s">
        <v>33</v>
      </c>
      <c r="S89" s="59">
        <f t="shared" si="29"/>
        <v>0</v>
      </c>
      <c r="T89" s="46">
        <f t="shared" si="30"/>
        <v>3936.435240252998</v>
      </c>
      <c r="U89" s="46">
        <f t="shared" si="31"/>
        <v>0</v>
      </c>
      <c r="V89" s="84">
        <f t="shared" si="32"/>
        <v>0</v>
      </c>
      <c r="W89" s="46">
        <f t="shared" si="33"/>
        <v>400.75371221933119</v>
      </c>
      <c r="X89" s="79">
        <f t="shared" si="34"/>
        <v>0</v>
      </c>
    </row>
    <row r="90" spans="18:24">
      <c r="R90" s="16" t="s">
        <v>34</v>
      </c>
      <c r="S90" s="59">
        <f t="shared" si="29"/>
        <v>1046.6996009174318</v>
      </c>
      <c r="T90" s="46">
        <f t="shared" si="30"/>
        <v>1046.6996009174318</v>
      </c>
      <c r="U90" s="46">
        <f t="shared" si="31"/>
        <v>2378.4226010091747</v>
      </c>
      <c r="V90" s="84">
        <f t="shared" si="32"/>
        <v>115.64891727325939</v>
      </c>
      <c r="W90" s="46">
        <f t="shared" si="33"/>
        <v>115.64891727325939</v>
      </c>
      <c r="X90" s="79">
        <f t="shared" si="34"/>
        <v>262.78981895461578</v>
      </c>
    </row>
    <row r="91" spans="18:24">
      <c r="R91" s="16" t="s">
        <v>35</v>
      </c>
      <c r="S91" s="59">
        <f t="shared" si="29"/>
        <v>803.62570223931516</v>
      </c>
      <c r="T91" s="46">
        <f t="shared" si="30"/>
        <v>803.62570223931516</v>
      </c>
      <c r="U91" s="46">
        <f t="shared" si="31"/>
        <v>648.27798284732876</v>
      </c>
      <c r="V91" s="84">
        <f t="shared" si="32"/>
        <v>69.581899209199292</v>
      </c>
      <c r="W91" s="46">
        <f t="shared" si="33"/>
        <v>69.581899209199292</v>
      </c>
      <c r="X91" s="79">
        <f t="shared" si="34"/>
        <v>56.131123153889419</v>
      </c>
    </row>
    <row r="92" spans="18:24">
      <c r="R92" s="16" t="s">
        <v>36</v>
      </c>
      <c r="S92" s="59">
        <f t="shared" si="29"/>
        <v>0</v>
      </c>
      <c r="T92" s="46">
        <f t="shared" si="30"/>
        <v>0</v>
      </c>
      <c r="U92" s="46">
        <f t="shared" si="31"/>
        <v>0</v>
      </c>
      <c r="V92" s="84">
        <f t="shared" si="32"/>
        <v>0</v>
      </c>
      <c r="W92" s="46">
        <f t="shared" si="33"/>
        <v>0</v>
      </c>
      <c r="X92" s="79">
        <f t="shared" si="34"/>
        <v>0</v>
      </c>
    </row>
    <row r="93" spans="18:24">
      <c r="R93" s="16" t="s">
        <v>37</v>
      </c>
      <c r="S93" s="59">
        <f t="shared" si="29"/>
        <v>123753.46685677562</v>
      </c>
      <c r="T93" s="46">
        <f t="shared" si="30"/>
        <v>97088.024764264439</v>
      </c>
      <c r="U93" s="46">
        <f t="shared" si="31"/>
        <v>45603.926064722269</v>
      </c>
      <c r="V93" s="84">
        <f t="shared" si="32"/>
        <v>9281.0300874394034</v>
      </c>
      <c r="W93" s="46">
        <f t="shared" si="33"/>
        <v>7281.2253414286097</v>
      </c>
      <c r="X93" s="79">
        <f t="shared" si="34"/>
        <v>3420.1175988216446</v>
      </c>
    </row>
    <row r="94" spans="18:24">
      <c r="R94" s="16" t="s">
        <v>38</v>
      </c>
      <c r="S94" s="59">
        <f t="shared" si="29"/>
        <v>29860.628157253865</v>
      </c>
      <c r="T94" s="46">
        <f t="shared" si="30"/>
        <v>29865.305440423534</v>
      </c>
      <c r="U94" s="46">
        <f t="shared" si="31"/>
        <v>14558.065722064999</v>
      </c>
      <c r="V94" s="84">
        <f t="shared" si="32"/>
        <v>2161.3530392405796</v>
      </c>
      <c r="W94" s="46">
        <f t="shared" si="33"/>
        <v>2161.6915873830003</v>
      </c>
      <c r="X94" s="79">
        <f t="shared" si="34"/>
        <v>1053.7326752855215</v>
      </c>
    </row>
    <row r="95" spans="18:24">
      <c r="R95" s="16" t="s">
        <v>39</v>
      </c>
      <c r="S95" s="59">
        <f t="shared" si="29"/>
        <v>3882.6307000000006</v>
      </c>
      <c r="T95" s="46">
        <f t="shared" si="30"/>
        <v>2005.5653666666665</v>
      </c>
      <c r="U95" s="46">
        <f t="shared" si="31"/>
        <v>0</v>
      </c>
      <c r="V95" s="84">
        <f t="shared" si="32"/>
        <v>299.2437060929534</v>
      </c>
      <c r="W95" s="46">
        <f t="shared" si="33"/>
        <v>154.5737566884757</v>
      </c>
      <c r="X95" s="79">
        <f t="shared" si="34"/>
        <v>0</v>
      </c>
    </row>
    <row r="96" spans="18:24">
      <c r="R96" s="16" t="s">
        <v>40</v>
      </c>
      <c r="S96" s="59">
        <f t="shared" si="29"/>
        <v>29.816041100917602</v>
      </c>
      <c r="T96" s="46">
        <f t="shared" si="30"/>
        <v>29.816041100917602</v>
      </c>
      <c r="U96" s="46">
        <f t="shared" si="31"/>
        <v>29.816041100917602</v>
      </c>
      <c r="V96" s="84">
        <f t="shared" si="32"/>
        <v>1.8208345960608634</v>
      </c>
      <c r="W96" s="46">
        <f t="shared" si="33"/>
        <v>1.8208345960608634</v>
      </c>
      <c r="X96" s="79">
        <f t="shared" si="34"/>
        <v>1.8208345960608634</v>
      </c>
    </row>
    <row r="97" spans="18:24">
      <c r="R97" s="16" t="s">
        <v>41</v>
      </c>
      <c r="S97" s="59">
        <f t="shared" si="29"/>
        <v>88.676779110144452</v>
      </c>
      <c r="T97" s="46">
        <f t="shared" si="30"/>
        <v>88.676779110144452</v>
      </c>
      <c r="U97" s="46">
        <f t="shared" si="31"/>
        <v>22.804736617701312</v>
      </c>
      <c r="V97" s="84">
        <f t="shared" si="32"/>
        <v>5.4153986011921997</v>
      </c>
      <c r="W97" s="46">
        <f t="shared" si="33"/>
        <v>5.4153986011921997</v>
      </c>
      <c r="X97" s="79">
        <f t="shared" si="34"/>
        <v>1.3926615289743696</v>
      </c>
    </row>
    <row r="98" spans="18:24">
      <c r="R98" s="16" t="s">
        <v>42</v>
      </c>
      <c r="S98" s="59">
        <f t="shared" si="29"/>
        <v>0</v>
      </c>
      <c r="T98" s="46">
        <f t="shared" si="30"/>
        <v>0</v>
      </c>
      <c r="U98" s="46">
        <f t="shared" si="31"/>
        <v>0</v>
      </c>
      <c r="V98" s="84">
        <f t="shared" si="32"/>
        <v>0</v>
      </c>
      <c r="W98" s="46">
        <f t="shared" si="33"/>
        <v>0</v>
      </c>
      <c r="X98" s="79">
        <f t="shared" si="34"/>
        <v>0</v>
      </c>
    </row>
    <row r="99" spans="18:24">
      <c r="R99" s="16" t="s">
        <v>43</v>
      </c>
      <c r="S99" s="59">
        <f t="shared" si="29"/>
        <v>1456.8229280540806</v>
      </c>
      <c r="T99" s="46">
        <f t="shared" si="30"/>
        <v>1456.8229280540806</v>
      </c>
      <c r="U99" s="46">
        <f t="shared" si="31"/>
        <v>92.822861661033329</v>
      </c>
      <c r="V99" s="84">
        <f t="shared" si="32"/>
        <v>153.14738097289333</v>
      </c>
      <c r="W99" s="46">
        <f t="shared" si="33"/>
        <v>153.14738097289333</v>
      </c>
      <c r="X99" s="79">
        <f t="shared" si="34"/>
        <v>9.7579313752183978</v>
      </c>
    </row>
    <row r="100" spans="18:24">
      <c r="R100" s="16" t="s">
        <v>44</v>
      </c>
      <c r="S100" s="59">
        <f t="shared" si="29"/>
        <v>80.369916055045877</v>
      </c>
      <c r="T100" s="46">
        <f t="shared" si="30"/>
        <v>80.369916055045877</v>
      </c>
      <c r="U100" s="46">
        <f t="shared" si="31"/>
        <v>0</v>
      </c>
      <c r="V100" s="84">
        <f t="shared" si="32"/>
        <v>8.8800012582043664</v>
      </c>
      <c r="W100" s="46">
        <f t="shared" si="33"/>
        <v>8.8800012582043664</v>
      </c>
      <c r="X100" s="79">
        <f t="shared" si="34"/>
        <v>0</v>
      </c>
    </row>
    <row r="101" spans="18:24">
      <c r="R101" s="16" t="s">
        <v>204</v>
      </c>
      <c r="S101" s="59">
        <f t="shared" si="29"/>
        <v>20523.512234370042</v>
      </c>
      <c r="T101" s="46">
        <f t="shared" si="30"/>
        <v>18898.215137082327</v>
      </c>
      <c r="U101" s="46">
        <f t="shared" si="31"/>
        <v>11975.717234372531</v>
      </c>
      <c r="V101" s="84">
        <f t="shared" si="32"/>
        <v>2397.7525948302919</v>
      </c>
      <c r="W101" s="46">
        <f t="shared" si="33"/>
        <v>2207.8698745683337</v>
      </c>
      <c r="X101" s="79">
        <f t="shared" si="34"/>
        <v>1399.1175947741951</v>
      </c>
    </row>
    <row r="102" spans="18:24">
      <c r="R102" s="16" t="s">
        <v>217</v>
      </c>
      <c r="S102" s="59">
        <f t="shared" si="29"/>
        <v>7100.3596164354922</v>
      </c>
      <c r="T102" s="46">
        <f t="shared" si="30"/>
        <v>7100.3596164354922</v>
      </c>
      <c r="U102" s="46">
        <f t="shared" si="31"/>
        <v>5785.4782059844747</v>
      </c>
      <c r="V102" s="84">
        <f t="shared" si="32"/>
        <v>722.86098988278229</v>
      </c>
      <c r="W102" s="46">
        <f t="shared" si="33"/>
        <v>722.86098988278229</v>
      </c>
      <c r="X102" s="79">
        <f t="shared" si="34"/>
        <v>588.99784360819297</v>
      </c>
    </row>
    <row r="103" spans="18:24">
      <c r="S103" s="70">
        <f>SUM(S78:S102)</f>
        <v>237544.73925652509</v>
      </c>
      <c r="T103" s="70">
        <f>SUM(T78:T102)</f>
        <v>212840.31492669813</v>
      </c>
      <c r="U103" s="70">
        <f>SUM(U78:U102)</f>
        <v>102831.83737132039</v>
      </c>
      <c r="V103" s="70">
        <f t="shared" ref="V103:X103" si="35">SUM(V78:V102)</f>
        <v>18950.728773657389</v>
      </c>
      <c r="W103" s="70">
        <f t="shared" si="35"/>
        <v>17175.192918662375</v>
      </c>
      <c r="X103" s="70">
        <f t="shared" si="35"/>
        <v>8659.7393746902944</v>
      </c>
    </row>
  </sheetData>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D9CAC-B202-4091-854C-7CFC64ADB706}">
  <sheetPr codeName="Sheet33"/>
  <dimension ref="C1:J19"/>
  <sheetViews>
    <sheetView workbookViewId="0"/>
  </sheetViews>
  <sheetFormatPr defaultRowHeight="14"/>
  <cols>
    <col min="1" max="1" width="1.75" customWidth="1"/>
    <col min="3" max="3" width="23.75" bestFit="1" customWidth="1"/>
    <col min="4" max="4" width="10.25" customWidth="1"/>
    <col min="5" max="5" width="21.25" bestFit="1" customWidth="1"/>
    <col min="6" max="6" width="16.75" bestFit="1" customWidth="1"/>
    <col min="7" max="8" width="17.25" customWidth="1"/>
    <col min="9" max="9" width="26.75" bestFit="1" customWidth="1"/>
    <col min="10" max="10" width="23" customWidth="1"/>
  </cols>
  <sheetData>
    <row r="1" spans="3:10" ht="10.4" customHeight="1"/>
    <row r="3" spans="3:10">
      <c r="D3" s="51"/>
      <c r="E3" s="51" t="s">
        <v>423</v>
      </c>
      <c r="F3" s="51" t="s">
        <v>234</v>
      </c>
      <c r="G3" s="51" t="s">
        <v>56</v>
      </c>
      <c r="H3" s="51" t="s">
        <v>425</v>
      </c>
      <c r="I3" s="51" t="s">
        <v>426</v>
      </c>
      <c r="J3" s="51" t="s">
        <v>427</v>
      </c>
    </row>
    <row r="4" spans="3:10">
      <c r="D4" s="50" t="s">
        <v>6</v>
      </c>
      <c r="E4" s="50" t="s">
        <v>81</v>
      </c>
      <c r="F4" s="50" t="s">
        <v>291</v>
      </c>
      <c r="G4" s="50" t="s">
        <v>57</v>
      </c>
      <c r="H4" s="50" t="s">
        <v>81</v>
      </c>
      <c r="I4" s="50" t="s">
        <v>81</v>
      </c>
      <c r="J4" s="50" t="s">
        <v>81</v>
      </c>
    </row>
    <row r="5" spans="3:10">
      <c r="C5" s="5" t="s">
        <v>429</v>
      </c>
    </row>
    <row r="6" spans="3:10">
      <c r="C6" s="105" t="s">
        <v>211</v>
      </c>
      <c r="E6" s="121">
        <f>Network!D32</f>
        <v>28101.297500000001</v>
      </c>
      <c r="F6">
        <f>Network!C24</f>
        <v>45</v>
      </c>
      <c r="G6" s="14">
        <f>Network!E17</f>
        <v>4.0620000000000003E-2</v>
      </c>
      <c r="H6" s="121">
        <f>-PMT(G6,F6,E6)</f>
        <v>1369.771959596894</v>
      </c>
      <c r="I6" s="121">
        <f>Network!F56</f>
        <v>267.89668691922799</v>
      </c>
      <c r="J6" s="46">
        <f>H6+I6</f>
        <v>1637.668646516122</v>
      </c>
    </row>
    <row r="7" spans="3:10">
      <c r="C7" s="105" t="s">
        <v>430</v>
      </c>
      <c r="E7" s="17">
        <f>Network!N114</f>
        <v>20317.603722109525</v>
      </c>
      <c r="F7">
        <f>Network!C74</f>
        <v>45</v>
      </c>
      <c r="G7" s="14">
        <f>Network!C75</f>
        <v>3.2599999999999997E-2</v>
      </c>
      <c r="H7" s="17">
        <f>-PMT(G7,F7,E7)</f>
        <v>867.04327658743443</v>
      </c>
      <c r="I7" s="17">
        <f>Network!K108</f>
        <v>829.27448275862071</v>
      </c>
      <c r="J7" s="46">
        <f>H7+I7</f>
        <v>1696.317759346055</v>
      </c>
    </row>
    <row r="9" spans="3:10">
      <c r="D9" s="51"/>
      <c r="E9" s="51" t="s">
        <v>432</v>
      </c>
      <c r="F9" s="51" t="s">
        <v>433</v>
      </c>
      <c r="G9" s="51"/>
      <c r="H9" s="51"/>
      <c r="I9" s="51" t="s">
        <v>426</v>
      </c>
      <c r="J9" s="51" t="s">
        <v>427</v>
      </c>
    </row>
    <row r="10" spans="3:10">
      <c r="D10" s="50" t="s">
        <v>6</v>
      </c>
      <c r="E10" s="50" t="s">
        <v>434</v>
      </c>
      <c r="F10" s="50" t="s">
        <v>435</v>
      </c>
      <c r="G10" s="50"/>
      <c r="H10" s="50"/>
      <c r="I10" s="50" t="s">
        <v>81</v>
      </c>
      <c r="J10" s="50" t="s">
        <v>81</v>
      </c>
    </row>
    <row r="11" spans="3:10">
      <c r="C11" s="5" t="s">
        <v>436</v>
      </c>
      <c r="D11" s="10"/>
      <c r="E11" s="10"/>
      <c r="F11" s="10"/>
      <c r="I11" s="10"/>
      <c r="J11" s="10"/>
    </row>
    <row r="12" spans="3:10">
      <c r="C12" s="5" t="s">
        <v>437</v>
      </c>
      <c r="D12" s="10"/>
      <c r="E12" s="10"/>
      <c r="F12" s="10"/>
      <c r="I12" s="10"/>
      <c r="J12" s="10"/>
    </row>
    <row r="13" spans="3:10">
      <c r="C13" s="105" t="s">
        <v>49</v>
      </c>
      <c r="E13" s="12">
        <f>'CO2&amp;H2'!$F$14</f>
        <v>18.760604791688753</v>
      </c>
      <c r="F13" s="46">
        <f>EmissionsCaptured_HG!D13</f>
        <v>0</v>
      </c>
      <c r="I13" s="46">
        <f>(E13*F13)/10^6</f>
        <v>0</v>
      </c>
      <c r="J13" s="46">
        <f>I13</f>
        <v>0</v>
      </c>
    </row>
    <row r="14" spans="3:10">
      <c r="C14" s="105" t="s">
        <v>19</v>
      </c>
      <c r="E14" s="12">
        <f>'CO2&amp;H2'!$F$14</f>
        <v>18.760604791688753</v>
      </c>
      <c r="F14" s="46">
        <f>EmissionsCaptured_HG!D14</f>
        <v>3439579</v>
      </c>
      <c r="I14" s="46">
        <f t="shared" ref="I14:I15" si="0">(E14*F14)/10^6</f>
        <v>64.528582268792007</v>
      </c>
      <c r="J14" s="46">
        <f t="shared" ref="J14:J15" si="1">I14</f>
        <v>64.528582268792007</v>
      </c>
    </row>
    <row r="15" spans="3:10">
      <c r="C15" s="105" t="s">
        <v>48</v>
      </c>
      <c r="E15" s="12">
        <f>'CO2&amp;H2'!$F$14</f>
        <v>18.760604791688753</v>
      </c>
      <c r="F15" s="46">
        <f>EmissionsCaptured_HG!D15</f>
        <v>7301023.6120999996</v>
      </c>
      <c r="I15" s="46">
        <f t="shared" si="0"/>
        <v>136.97161856139599</v>
      </c>
      <c r="J15" s="46">
        <f t="shared" si="1"/>
        <v>136.97161856139599</v>
      </c>
    </row>
    <row r="16" spans="3:10">
      <c r="C16" s="193" t="s">
        <v>438</v>
      </c>
      <c r="E16" s="12"/>
      <c r="F16" s="46"/>
      <c r="I16" s="46"/>
      <c r="J16" s="46"/>
    </row>
    <row r="17" spans="3:10">
      <c r="C17" s="105" t="s">
        <v>49</v>
      </c>
      <c r="E17" s="12">
        <f>'CO2&amp;H2'!$F$15</f>
        <v>78.194650817236251</v>
      </c>
      <c r="F17" s="46">
        <f>F13</f>
        <v>0</v>
      </c>
      <c r="I17" s="46">
        <f>(E17*F17)/10^6</f>
        <v>0</v>
      </c>
      <c r="J17" s="46">
        <f>I17</f>
        <v>0</v>
      </c>
    </row>
    <row r="18" spans="3:10">
      <c r="C18" s="105" t="s">
        <v>19</v>
      </c>
      <c r="E18" s="12">
        <f>'CO2&amp;H2'!$F$15</f>
        <v>78.194650817236251</v>
      </c>
      <c r="F18" s="46">
        <f>F14</f>
        <v>3439579</v>
      </c>
      <c r="I18" s="46">
        <f>(E18*F18)/10^6</f>
        <v>268.95667886329863</v>
      </c>
      <c r="J18" s="46">
        <f t="shared" ref="J18:J19" si="2">I18</f>
        <v>268.95667886329863</v>
      </c>
    </row>
    <row r="19" spans="3:10">
      <c r="C19" s="105" t="s">
        <v>48</v>
      </c>
      <c r="E19" s="12">
        <f>'CO2&amp;H2'!$F$15</f>
        <v>78.194650817236251</v>
      </c>
      <c r="F19" s="46">
        <f>F15</f>
        <v>7301023.6120999996</v>
      </c>
      <c r="I19" s="46">
        <f t="shared" ref="I19" si="3">(E19*F19)/10^6</f>
        <v>570.90099195655648</v>
      </c>
      <c r="J19" s="46">
        <f t="shared" si="2"/>
        <v>570.90099195655648</v>
      </c>
    </row>
  </sheetData>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C924-AFA9-4507-82A7-DD570CDA9B53}">
  <sheetPr codeName="Sheet34"/>
  <dimension ref="B3:E10"/>
  <sheetViews>
    <sheetView workbookViewId="0">
      <selection activeCell="C7" sqref="C7"/>
    </sheetView>
  </sheetViews>
  <sheetFormatPr defaultRowHeight="14"/>
  <cols>
    <col min="2" max="2" width="11.25" customWidth="1"/>
  </cols>
  <sheetData>
    <row r="3" spans="2:5">
      <c r="B3" t="s">
        <v>440</v>
      </c>
    </row>
    <row r="4" spans="2:5">
      <c r="C4" s="36"/>
      <c r="D4" s="36"/>
      <c r="E4" s="36"/>
    </row>
    <row r="5" spans="2:5">
      <c r="C5" s="51" t="s">
        <v>49</v>
      </c>
      <c r="D5" s="51" t="s">
        <v>19</v>
      </c>
      <c r="E5" s="51" t="s">
        <v>48</v>
      </c>
    </row>
    <row r="6" spans="2:5">
      <c r="C6" s="50" t="s">
        <v>81</v>
      </c>
      <c r="D6" s="50" t="s">
        <v>81</v>
      </c>
      <c r="E6" s="50" t="s">
        <v>81</v>
      </c>
    </row>
    <row r="7" spans="2:5">
      <c r="B7" t="s">
        <v>208</v>
      </c>
      <c r="C7" s="13">
        <f>ConstraintInputs_HG!D10</f>
        <v>4450.07</v>
      </c>
      <c r="D7" s="13">
        <f>ConstraintInputs_HG!D13</f>
        <v>3411.27</v>
      </c>
      <c r="E7" s="13">
        <f>ConstraintInputs_HG!D16</f>
        <v>2959.27</v>
      </c>
    </row>
    <row r="8" spans="2:5">
      <c r="B8" t="s">
        <v>441</v>
      </c>
      <c r="C8">
        <f>ConstraintInputs_HG!$D$49</f>
        <v>83</v>
      </c>
      <c r="D8">
        <f>ConstraintInputs_HG!$D$49</f>
        <v>83</v>
      </c>
      <c r="E8">
        <f>ConstraintInputs_HG!$D$49</f>
        <v>83</v>
      </c>
    </row>
    <row r="9" spans="2:5">
      <c r="B9" t="s">
        <v>442</v>
      </c>
      <c r="C9">
        <f>ConstraintInputs_HG!$D$48</f>
        <v>268</v>
      </c>
      <c r="D9">
        <f>ConstraintInputs_HG!$D$48</f>
        <v>268</v>
      </c>
      <c r="E9">
        <f>ConstraintInputs_HG!$D$48</f>
        <v>268</v>
      </c>
    </row>
    <row r="10" spans="2:5">
      <c r="B10" s="5" t="s">
        <v>117</v>
      </c>
      <c r="C10" s="41">
        <f>SUM(C7:C9)</f>
        <v>4801.07</v>
      </c>
      <c r="D10" s="41">
        <f t="shared" ref="D10:E10" si="0">SUM(D7:D9)</f>
        <v>3762.27</v>
      </c>
      <c r="E10" s="41">
        <f t="shared" si="0"/>
        <v>3310.27</v>
      </c>
    </row>
  </sheetData>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34EAB-1A84-4D51-9FB5-83C20FFDB22A}">
  <sheetPr codeName="Sheet35">
    <tabColor theme="9"/>
  </sheetPr>
  <dimension ref="A1"/>
  <sheetViews>
    <sheetView workbookViewId="0"/>
  </sheetViews>
  <sheetFormatPr defaultRowHeight="14"/>
  <sheetData/>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B0B5C-C00A-4517-BCDB-CEB597F8EE5E}">
  <sheetPr codeName="Sheet36"/>
  <dimension ref="C1:L79"/>
  <sheetViews>
    <sheetView topLeftCell="A43" workbookViewId="0"/>
  </sheetViews>
  <sheetFormatPr defaultRowHeight="14"/>
  <cols>
    <col min="1" max="1" width="1.75" customWidth="1"/>
    <col min="3" max="3" width="13.75" bestFit="1" customWidth="1"/>
    <col min="4" max="4" width="9.75" bestFit="1" customWidth="1"/>
    <col min="5" max="5" width="38.75" bestFit="1" customWidth="1"/>
    <col min="6" max="6" width="10.25" bestFit="1" customWidth="1"/>
    <col min="7" max="7" width="5.25" bestFit="1" customWidth="1"/>
    <col min="8" max="8" width="10.25" bestFit="1" customWidth="1"/>
    <col min="9" max="9" width="9.75" bestFit="1" customWidth="1"/>
    <col min="10" max="10" width="5.25" bestFit="1" customWidth="1"/>
    <col min="11" max="11" width="25.75" bestFit="1" customWidth="1"/>
  </cols>
  <sheetData>
    <row r="1" spans="3:12" ht="10.4" customHeight="1"/>
    <row r="2" spans="3:12">
      <c r="C2" s="10"/>
    </row>
    <row r="3" spans="3:12">
      <c r="C3" s="96" t="s">
        <v>4</v>
      </c>
      <c r="D3" s="43" t="s">
        <v>470</v>
      </c>
    </row>
    <row r="4" spans="3:12">
      <c r="C4" s="96" t="s">
        <v>6</v>
      </c>
      <c r="D4" s="43" t="s">
        <v>7</v>
      </c>
    </row>
    <row r="5" spans="3:12">
      <c r="C5" s="96" t="s">
        <v>480</v>
      </c>
      <c r="D5" s="62" t="s">
        <v>196</v>
      </c>
    </row>
    <row r="6" spans="3:12">
      <c r="C6" s="10"/>
    </row>
    <row r="8" spans="3:12">
      <c r="C8" s="44" t="s">
        <v>11</v>
      </c>
      <c r="D8" s="44" t="s">
        <v>12</v>
      </c>
      <c r="E8" s="44" t="s">
        <v>13</v>
      </c>
      <c r="F8" s="44" t="s">
        <v>14</v>
      </c>
      <c r="G8" s="44" t="s">
        <v>15</v>
      </c>
      <c r="H8" s="44" t="s">
        <v>16</v>
      </c>
      <c r="I8" s="44" t="s">
        <v>17</v>
      </c>
      <c r="J8" s="44" t="s">
        <v>6</v>
      </c>
      <c r="K8" s="44" t="s">
        <v>18</v>
      </c>
    </row>
    <row r="9" spans="3:12">
      <c r="C9" t="s">
        <v>19</v>
      </c>
      <c r="D9" t="s">
        <v>20</v>
      </c>
      <c r="E9" t="s">
        <v>21</v>
      </c>
      <c r="F9" t="s">
        <v>22</v>
      </c>
      <c r="G9">
        <v>1</v>
      </c>
      <c r="H9">
        <v>2030</v>
      </c>
      <c r="I9">
        <v>10069.700000000001</v>
      </c>
      <c r="J9" t="s">
        <v>7</v>
      </c>
      <c r="K9" t="s">
        <v>21</v>
      </c>
      <c r="L9" s="14"/>
    </row>
    <row r="10" spans="3:12">
      <c r="C10" t="s">
        <v>19</v>
      </c>
      <c r="D10" t="s">
        <v>20</v>
      </c>
      <c r="E10" t="s">
        <v>23</v>
      </c>
      <c r="F10" t="s">
        <v>22</v>
      </c>
      <c r="G10">
        <v>1</v>
      </c>
      <c r="H10">
        <v>2030</v>
      </c>
      <c r="I10">
        <v>75.47</v>
      </c>
      <c r="J10" t="s">
        <v>7</v>
      </c>
      <c r="K10" t="s">
        <v>471</v>
      </c>
      <c r="L10" s="14"/>
    </row>
    <row r="11" spans="3:12">
      <c r="C11" t="s">
        <v>19</v>
      </c>
      <c r="D11" t="s">
        <v>20</v>
      </c>
      <c r="E11" t="s">
        <v>24</v>
      </c>
      <c r="F11" t="s">
        <v>22</v>
      </c>
      <c r="G11">
        <v>1</v>
      </c>
      <c r="H11">
        <v>2030</v>
      </c>
      <c r="I11">
        <v>25890.2</v>
      </c>
      <c r="J11" t="s">
        <v>7</v>
      </c>
      <c r="K11" t="s">
        <v>24</v>
      </c>
      <c r="L11" s="14"/>
    </row>
    <row r="12" spans="3:12">
      <c r="C12" t="s">
        <v>19</v>
      </c>
      <c r="D12" t="s">
        <v>20</v>
      </c>
      <c r="E12" t="s">
        <v>25</v>
      </c>
      <c r="F12" t="s">
        <v>22</v>
      </c>
      <c r="G12">
        <v>1</v>
      </c>
      <c r="H12">
        <v>2030</v>
      </c>
      <c r="I12">
        <v>44053.47</v>
      </c>
      <c r="J12" t="s">
        <v>7</v>
      </c>
      <c r="K12" t="s">
        <v>203</v>
      </c>
      <c r="L12" s="14"/>
    </row>
    <row r="13" spans="3:12">
      <c r="C13" t="s">
        <v>19</v>
      </c>
      <c r="D13" t="s">
        <v>20</v>
      </c>
      <c r="E13" t="s">
        <v>26</v>
      </c>
      <c r="F13" t="s">
        <v>22</v>
      </c>
      <c r="G13">
        <v>1</v>
      </c>
      <c r="H13">
        <v>2030</v>
      </c>
      <c r="I13">
        <v>7732.7</v>
      </c>
      <c r="J13" t="s">
        <v>7</v>
      </c>
      <c r="K13" t="s">
        <v>472</v>
      </c>
      <c r="L13" s="14"/>
    </row>
    <row r="14" spans="3:12">
      <c r="C14" t="s">
        <v>19</v>
      </c>
      <c r="D14" t="s">
        <v>20</v>
      </c>
      <c r="E14" t="s">
        <v>27</v>
      </c>
      <c r="F14" t="s">
        <v>22</v>
      </c>
      <c r="G14">
        <v>1</v>
      </c>
      <c r="H14">
        <v>2030</v>
      </c>
      <c r="I14">
        <v>4217.24</v>
      </c>
      <c r="J14" t="s">
        <v>7</v>
      </c>
      <c r="K14" t="s">
        <v>471</v>
      </c>
      <c r="L14" s="14"/>
    </row>
    <row r="15" spans="3:12">
      <c r="C15" t="s">
        <v>19</v>
      </c>
      <c r="D15" t="s">
        <v>20</v>
      </c>
      <c r="E15" t="s">
        <v>28</v>
      </c>
      <c r="F15" t="s">
        <v>22</v>
      </c>
      <c r="G15">
        <v>1</v>
      </c>
      <c r="H15">
        <v>2030</v>
      </c>
      <c r="I15">
        <v>4477.97</v>
      </c>
      <c r="J15" t="s">
        <v>7</v>
      </c>
      <c r="K15" t="s">
        <v>471</v>
      </c>
      <c r="L15" s="14"/>
    </row>
    <row r="16" spans="3:12">
      <c r="C16" t="s">
        <v>19</v>
      </c>
      <c r="D16" t="s">
        <v>20</v>
      </c>
      <c r="E16" t="s">
        <v>29</v>
      </c>
      <c r="F16" t="s">
        <v>22</v>
      </c>
      <c r="G16">
        <v>1</v>
      </c>
      <c r="H16">
        <v>2030</v>
      </c>
      <c r="I16">
        <v>23.76</v>
      </c>
      <c r="J16" t="s">
        <v>7</v>
      </c>
      <c r="K16" t="s">
        <v>471</v>
      </c>
      <c r="L16" s="14"/>
    </row>
    <row r="17" spans="3:12">
      <c r="C17" t="s">
        <v>19</v>
      </c>
      <c r="D17" t="s">
        <v>20</v>
      </c>
      <c r="E17" t="s">
        <v>30</v>
      </c>
      <c r="F17" t="s">
        <v>22</v>
      </c>
      <c r="G17">
        <v>1</v>
      </c>
      <c r="H17">
        <v>2030</v>
      </c>
      <c r="I17">
        <v>18443.23</v>
      </c>
      <c r="J17" t="s">
        <v>7</v>
      </c>
      <c r="K17" t="s">
        <v>30</v>
      </c>
      <c r="L17" s="14"/>
    </row>
    <row r="18" spans="3:12">
      <c r="C18" t="s">
        <v>19</v>
      </c>
      <c r="D18" t="s">
        <v>20</v>
      </c>
      <c r="E18" t="s">
        <v>32</v>
      </c>
      <c r="F18" t="s">
        <v>22</v>
      </c>
      <c r="G18">
        <v>1</v>
      </c>
      <c r="H18">
        <v>2030</v>
      </c>
      <c r="I18">
        <v>3503.25</v>
      </c>
      <c r="J18" t="s">
        <v>7</v>
      </c>
      <c r="K18" t="s">
        <v>32</v>
      </c>
      <c r="L18" s="14"/>
    </row>
    <row r="19" spans="3:12">
      <c r="C19" t="s">
        <v>19</v>
      </c>
      <c r="D19" t="s">
        <v>20</v>
      </c>
      <c r="E19" t="s">
        <v>34</v>
      </c>
      <c r="F19" t="s">
        <v>22</v>
      </c>
      <c r="G19">
        <v>1</v>
      </c>
      <c r="H19">
        <v>2030</v>
      </c>
      <c r="I19">
        <v>0</v>
      </c>
      <c r="J19" t="s">
        <v>7</v>
      </c>
      <c r="K19" t="s">
        <v>471</v>
      </c>
      <c r="L19" s="14"/>
    </row>
    <row r="20" spans="3:12">
      <c r="C20" t="s">
        <v>19</v>
      </c>
      <c r="D20" t="s">
        <v>20</v>
      </c>
      <c r="E20" t="s">
        <v>35</v>
      </c>
      <c r="F20" t="s">
        <v>22</v>
      </c>
      <c r="G20">
        <v>1</v>
      </c>
      <c r="H20">
        <v>2030</v>
      </c>
      <c r="I20">
        <v>185.47</v>
      </c>
      <c r="J20" t="s">
        <v>7</v>
      </c>
      <c r="K20" t="s">
        <v>471</v>
      </c>
      <c r="L20" s="14"/>
    </row>
    <row r="21" spans="3:12">
      <c r="C21" t="s">
        <v>19</v>
      </c>
      <c r="D21" t="s">
        <v>20</v>
      </c>
      <c r="E21" t="s">
        <v>36</v>
      </c>
      <c r="F21" t="s">
        <v>22</v>
      </c>
      <c r="G21">
        <v>1</v>
      </c>
      <c r="H21">
        <v>2030</v>
      </c>
      <c r="I21">
        <v>11097.59</v>
      </c>
      <c r="J21" t="s">
        <v>7</v>
      </c>
      <c r="K21" t="s">
        <v>473</v>
      </c>
      <c r="L21" s="14"/>
    </row>
    <row r="22" spans="3:12">
      <c r="C22" t="s">
        <v>19</v>
      </c>
      <c r="D22" t="s">
        <v>20</v>
      </c>
      <c r="E22" t="s">
        <v>37</v>
      </c>
      <c r="F22" t="s">
        <v>22</v>
      </c>
      <c r="G22">
        <v>1</v>
      </c>
      <c r="H22">
        <v>2030</v>
      </c>
      <c r="I22">
        <v>157403.29999999999</v>
      </c>
      <c r="J22" t="s">
        <v>7</v>
      </c>
      <c r="K22" t="s">
        <v>37</v>
      </c>
      <c r="L22" s="14"/>
    </row>
    <row r="23" spans="3:12">
      <c r="C23" t="s">
        <v>19</v>
      </c>
      <c r="D23" t="s">
        <v>20</v>
      </c>
      <c r="E23" t="s">
        <v>38</v>
      </c>
      <c r="F23" t="s">
        <v>22</v>
      </c>
      <c r="G23">
        <v>1</v>
      </c>
      <c r="H23">
        <v>2030</v>
      </c>
      <c r="I23">
        <v>56389.43</v>
      </c>
      <c r="J23" t="s">
        <v>7</v>
      </c>
      <c r="K23" t="s">
        <v>38</v>
      </c>
      <c r="L23" s="14"/>
    </row>
    <row r="24" spans="3:12">
      <c r="C24" t="s">
        <v>19</v>
      </c>
      <c r="D24" t="s">
        <v>20</v>
      </c>
      <c r="E24" t="s">
        <v>39</v>
      </c>
      <c r="F24" t="s">
        <v>22</v>
      </c>
      <c r="G24">
        <v>1</v>
      </c>
      <c r="H24">
        <v>2030</v>
      </c>
      <c r="I24">
        <v>8457.5499999999993</v>
      </c>
      <c r="J24" t="s">
        <v>7</v>
      </c>
      <c r="K24" t="s">
        <v>39</v>
      </c>
      <c r="L24" s="14"/>
    </row>
    <row r="25" spans="3:12">
      <c r="C25" t="s">
        <v>19</v>
      </c>
      <c r="D25" t="s">
        <v>20</v>
      </c>
      <c r="E25" t="s">
        <v>40</v>
      </c>
      <c r="F25" t="s">
        <v>22</v>
      </c>
      <c r="G25">
        <v>1</v>
      </c>
      <c r="H25">
        <v>2030</v>
      </c>
      <c r="I25">
        <v>751.12</v>
      </c>
      <c r="J25" t="s">
        <v>7</v>
      </c>
      <c r="K25" t="s">
        <v>471</v>
      </c>
      <c r="L25" s="14"/>
    </row>
    <row r="26" spans="3:12">
      <c r="C26" t="s">
        <v>19</v>
      </c>
      <c r="D26" t="s">
        <v>20</v>
      </c>
      <c r="E26" t="s">
        <v>41</v>
      </c>
      <c r="F26" t="s">
        <v>22</v>
      </c>
      <c r="G26">
        <v>1</v>
      </c>
      <c r="H26">
        <v>2030</v>
      </c>
      <c r="I26">
        <v>2776.48</v>
      </c>
      <c r="J26" t="s">
        <v>7</v>
      </c>
      <c r="K26" t="s">
        <v>471</v>
      </c>
      <c r="L26" s="14"/>
    </row>
    <row r="27" spans="3:12">
      <c r="C27" t="s">
        <v>19</v>
      </c>
      <c r="D27" t="s">
        <v>20</v>
      </c>
      <c r="E27" t="s">
        <v>42</v>
      </c>
      <c r="F27" t="s">
        <v>22</v>
      </c>
      <c r="G27">
        <v>1</v>
      </c>
      <c r="H27">
        <v>2030</v>
      </c>
      <c r="I27">
        <v>0</v>
      </c>
      <c r="J27" t="s">
        <v>7</v>
      </c>
      <c r="K27" t="s">
        <v>471</v>
      </c>
      <c r="L27" s="14"/>
    </row>
    <row r="28" spans="3:12">
      <c r="C28" t="s">
        <v>19</v>
      </c>
      <c r="D28" t="s">
        <v>20</v>
      </c>
      <c r="E28" t="s">
        <v>43</v>
      </c>
      <c r="F28" t="s">
        <v>22</v>
      </c>
      <c r="G28">
        <v>1</v>
      </c>
      <c r="H28">
        <v>2030</v>
      </c>
      <c r="I28">
        <v>395.58</v>
      </c>
      <c r="J28" t="s">
        <v>7</v>
      </c>
      <c r="K28" t="s">
        <v>472</v>
      </c>
      <c r="L28" s="14"/>
    </row>
    <row r="29" spans="3:12">
      <c r="C29" t="s">
        <v>19</v>
      </c>
      <c r="D29" t="s">
        <v>20</v>
      </c>
      <c r="E29" t="s">
        <v>44</v>
      </c>
      <c r="F29" t="s">
        <v>22</v>
      </c>
      <c r="G29">
        <v>1</v>
      </c>
      <c r="H29">
        <v>2030</v>
      </c>
      <c r="I29">
        <v>114.4</v>
      </c>
      <c r="J29" t="s">
        <v>7</v>
      </c>
      <c r="K29" t="s">
        <v>474</v>
      </c>
      <c r="L29" s="14"/>
    </row>
    <row r="30" spans="3:12">
      <c r="C30" t="s">
        <v>19</v>
      </c>
      <c r="D30" t="s">
        <v>20</v>
      </c>
      <c r="E30" t="s">
        <v>45</v>
      </c>
      <c r="F30" t="s">
        <v>22</v>
      </c>
      <c r="G30">
        <v>1</v>
      </c>
      <c r="H30">
        <v>2030</v>
      </c>
      <c r="I30">
        <v>37804.050000000003</v>
      </c>
      <c r="J30" t="s">
        <v>7</v>
      </c>
      <c r="K30" t="s">
        <v>37</v>
      </c>
      <c r="L30" s="14"/>
    </row>
    <row r="31" spans="3:12">
      <c r="C31" t="s">
        <v>19</v>
      </c>
      <c r="D31" t="s">
        <v>20</v>
      </c>
      <c r="E31" t="s">
        <v>46</v>
      </c>
      <c r="F31" t="s">
        <v>22</v>
      </c>
      <c r="G31">
        <v>1</v>
      </c>
      <c r="H31">
        <v>2030</v>
      </c>
      <c r="I31">
        <v>634.16</v>
      </c>
      <c r="J31" t="s">
        <v>7</v>
      </c>
      <c r="K31" t="s">
        <v>473</v>
      </c>
      <c r="L31" s="14"/>
    </row>
    <row r="32" spans="3:12">
      <c r="C32" t="s">
        <v>19</v>
      </c>
      <c r="D32" t="s">
        <v>20</v>
      </c>
      <c r="E32" t="s">
        <v>47</v>
      </c>
      <c r="F32" t="s">
        <v>22</v>
      </c>
      <c r="G32">
        <v>1</v>
      </c>
      <c r="H32">
        <v>2030</v>
      </c>
      <c r="I32">
        <v>241.62</v>
      </c>
      <c r="J32" t="s">
        <v>7</v>
      </c>
      <c r="K32" t="s">
        <v>473</v>
      </c>
    </row>
    <row r="33" spans="3:11">
      <c r="C33" t="s">
        <v>48</v>
      </c>
      <c r="D33" t="s">
        <v>20</v>
      </c>
      <c r="E33" t="s">
        <v>21</v>
      </c>
      <c r="F33" t="s">
        <v>22</v>
      </c>
      <c r="G33">
        <v>1</v>
      </c>
      <c r="H33">
        <v>2030</v>
      </c>
      <c r="I33">
        <v>8781.0499999999993</v>
      </c>
      <c r="J33" t="s">
        <v>7</v>
      </c>
      <c r="K33" t="s">
        <v>21</v>
      </c>
    </row>
    <row r="34" spans="3:11">
      <c r="C34" t="s">
        <v>48</v>
      </c>
      <c r="D34" t="s">
        <v>20</v>
      </c>
      <c r="E34" t="s">
        <v>23</v>
      </c>
      <c r="F34" t="s">
        <v>22</v>
      </c>
      <c r="G34">
        <v>1</v>
      </c>
      <c r="H34">
        <v>2030</v>
      </c>
      <c r="I34">
        <v>55.65</v>
      </c>
      <c r="J34" t="s">
        <v>7</v>
      </c>
      <c r="K34" t="s">
        <v>471</v>
      </c>
    </row>
    <row r="35" spans="3:11">
      <c r="C35" t="s">
        <v>48</v>
      </c>
      <c r="D35" t="s">
        <v>20</v>
      </c>
      <c r="E35" t="s">
        <v>24</v>
      </c>
      <c r="F35" t="s">
        <v>22</v>
      </c>
      <c r="G35">
        <v>1</v>
      </c>
      <c r="H35">
        <v>2030</v>
      </c>
      <c r="I35">
        <v>30737.52</v>
      </c>
      <c r="J35" t="s">
        <v>7</v>
      </c>
      <c r="K35" t="s">
        <v>24</v>
      </c>
    </row>
    <row r="36" spans="3:11">
      <c r="C36" t="s">
        <v>48</v>
      </c>
      <c r="D36" t="s">
        <v>20</v>
      </c>
      <c r="E36" t="s">
        <v>25</v>
      </c>
      <c r="F36" t="s">
        <v>22</v>
      </c>
      <c r="G36">
        <v>1</v>
      </c>
      <c r="H36">
        <v>2030</v>
      </c>
      <c r="I36">
        <v>37858.620000000003</v>
      </c>
      <c r="J36" t="s">
        <v>7</v>
      </c>
      <c r="K36" t="s">
        <v>203</v>
      </c>
    </row>
    <row r="37" spans="3:11">
      <c r="C37" t="s">
        <v>48</v>
      </c>
      <c r="D37" t="s">
        <v>20</v>
      </c>
      <c r="E37" t="s">
        <v>26</v>
      </c>
      <c r="F37" t="s">
        <v>22</v>
      </c>
      <c r="G37">
        <v>1</v>
      </c>
      <c r="H37">
        <v>2030</v>
      </c>
      <c r="I37">
        <v>8584.7099999999991</v>
      </c>
      <c r="J37" t="s">
        <v>7</v>
      </c>
      <c r="K37" t="s">
        <v>472</v>
      </c>
    </row>
    <row r="38" spans="3:11">
      <c r="C38" t="s">
        <v>48</v>
      </c>
      <c r="D38" t="s">
        <v>20</v>
      </c>
      <c r="E38" t="s">
        <v>27</v>
      </c>
      <c r="F38" t="s">
        <v>22</v>
      </c>
      <c r="G38">
        <v>1</v>
      </c>
      <c r="H38">
        <v>2030</v>
      </c>
      <c r="I38">
        <v>4590.49</v>
      </c>
      <c r="J38" t="s">
        <v>7</v>
      </c>
      <c r="K38" t="s">
        <v>471</v>
      </c>
    </row>
    <row r="39" spans="3:11">
      <c r="C39" t="s">
        <v>48</v>
      </c>
      <c r="D39" t="s">
        <v>20</v>
      </c>
      <c r="E39" t="s">
        <v>28</v>
      </c>
      <c r="F39" t="s">
        <v>22</v>
      </c>
      <c r="G39">
        <v>1</v>
      </c>
      <c r="H39">
        <v>2030</v>
      </c>
      <c r="I39">
        <v>4623.83</v>
      </c>
      <c r="J39" t="s">
        <v>7</v>
      </c>
      <c r="K39" t="s">
        <v>471</v>
      </c>
    </row>
    <row r="40" spans="3:11">
      <c r="C40" t="s">
        <v>48</v>
      </c>
      <c r="D40" t="s">
        <v>20</v>
      </c>
      <c r="E40" t="s">
        <v>29</v>
      </c>
      <c r="F40" t="s">
        <v>22</v>
      </c>
      <c r="G40">
        <v>1</v>
      </c>
      <c r="H40">
        <v>2030</v>
      </c>
      <c r="I40">
        <v>26.14</v>
      </c>
      <c r="J40" t="s">
        <v>7</v>
      </c>
      <c r="K40" t="s">
        <v>471</v>
      </c>
    </row>
    <row r="41" spans="3:11">
      <c r="C41" t="s">
        <v>48</v>
      </c>
      <c r="D41" t="s">
        <v>20</v>
      </c>
      <c r="E41" t="s">
        <v>30</v>
      </c>
      <c r="F41" t="s">
        <v>22</v>
      </c>
      <c r="G41">
        <v>1</v>
      </c>
      <c r="H41">
        <v>2030</v>
      </c>
      <c r="I41">
        <v>20496.91</v>
      </c>
      <c r="J41" t="s">
        <v>7</v>
      </c>
      <c r="K41" t="s">
        <v>30</v>
      </c>
    </row>
    <row r="42" spans="3:11">
      <c r="C42" t="s">
        <v>48</v>
      </c>
      <c r="D42" t="s">
        <v>20</v>
      </c>
      <c r="E42" t="s">
        <v>31</v>
      </c>
      <c r="F42" t="s">
        <v>22</v>
      </c>
      <c r="G42">
        <v>1</v>
      </c>
      <c r="H42">
        <v>2030</v>
      </c>
      <c r="I42">
        <v>4995.5</v>
      </c>
      <c r="J42" t="s">
        <v>7</v>
      </c>
      <c r="K42" t="s">
        <v>474</v>
      </c>
    </row>
    <row r="43" spans="3:11">
      <c r="C43" t="s">
        <v>48</v>
      </c>
      <c r="D43" t="s">
        <v>20</v>
      </c>
      <c r="E43" t="s">
        <v>32</v>
      </c>
      <c r="F43" t="s">
        <v>22</v>
      </c>
      <c r="G43">
        <v>1</v>
      </c>
      <c r="H43">
        <v>2030</v>
      </c>
      <c r="I43">
        <v>7003.8</v>
      </c>
      <c r="J43" t="s">
        <v>7</v>
      </c>
      <c r="K43" t="s">
        <v>32</v>
      </c>
    </row>
    <row r="44" spans="3:11">
      <c r="C44" t="s">
        <v>48</v>
      </c>
      <c r="D44" t="s">
        <v>20</v>
      </c>
      <c r="E44" t="s">
        <v>33</v>
      </c>
      <c r="F44" t="s">
        <v>22</v>
      </c>
      <c r="G44">
        <v>1</v>
      </c>
      <c r="H44">
        <v>2030</v>
      </c>
      <c r="I44">
        <v>4255.7700000000004</v>
      </c>
      <c r="J44" t="s">
        <v>7</v>
      </c>
      <c r="K44" t="s">
        <v>33</v>
      </c>
    </row>
    <row r="45" spans="3:11">
      <c r="C45" t="s">
        <v>48</v>
      </c>
      <c r="D45" t="s">
        <v>20</v>
      </c>
      <c r="E45" t="s">
        <v>34</v>
      </c>
      <c r="F45" t="s">
        <v>22</v>
      </c>
      <c r="G45">
        <v>1</v>
      </c>
      <c r="H45">
        <v>2030</v>
      </c>
      <c r="I45">
        <v>0</v>
      </c>
      <c r="J45" t="s">
        <v>7</v>
      </c>
      <c r="K45" t="s">
        <v>471</v>
      </c>
    </row>
    <row r="46" spans="3:11">
      <c r="C46" t="s">
        <v>48</v>
      </c>
      <c r="D46" t="s">
        <v>20</v>
      </c>
      <c r="E46" t="s">
        <v>35</v>
      </c>
      <c r="F46" t="s">
        <v>22</v>
      </c>
      <c r="G46">
        <v>1</v>
      </c>
      <c r="H46">
        <v>2030</v>
      </c>
      <c r="I46">
        <v>214.41</v>
      </c>
      <c r="J46" t="s">
        <v>7</v>
      </c>
      <c r="K46" t="s">
        <v>471</v>
      </c>
    </row>
    <row r="47" spans="3:11">
      <c r="C47" t="s">
        <v>48</v>
      </c>
      <c r="D47" t="s">
        <v>20</v>
      </c>
      <c r="E47" t="s">
        <v>36</v>
      </c>
      <c r="F47" t="s">
        <v>22</v>
      </c>
      <c r="G47">
        <v>1</v>
      </c>
      <c r="H47">
        <v>2030</v>
      </c>
      <c r="I47">
        <v>11097.59</v>
      </c>
      <c r="J47" t="s">
        <v>7</v>
      </c>
      <c r="K47" t="s">
        <v>473</v>
      </c>
    </row>
    <row r="48" spans="3:11">
      <c r="C48" t="s">
        <v>48</v>
      </c>
      <c r="D48" t="s">
        <v>20</v>
      </c>
      <c r="E48" t="s">
        <v>37</v>
      </c>
      <c r="F48" t="s">
        <v>22</v>
      </c>
      <c r="G48">
        <v>1</v>
      </c>
      <c r="H48">
        <v>2030</v>
      </c>
      <c r="I48">
        <v>147012.54</v>
      </c>
      <c r="J48" t="s">
        <v>7</v>
      </c>
      <c r="K48" t="s">
        <v>37</v>
      </c>
    </row>
    <row r="49" spans="3:12">
      <c r="C49" t="s">
        <v>48</v>
      </c>
      <c r="D49" t="s">
        <v>20</v>
      </c>
      <c r="E49" t="s">
        <v>38</v>
      </c>
      <c r="F49" t="s">
        <v>22</v>
      </c>
      <c r="G49">
        <v>1</v>
      </c>
      <c r="H49">
        <v>2030</v>
      </c>
      <c r="I49">
        <v>53580.3</v>
      </c>
      <c r="J49" t="s">
        <v>7</v>
      </c>
      <c r="K49" t="s">
        <v>38</v>
      </c>
    </row>
    <row r="50" spans="3:12">
      <c r="C50" t="s">
        <v>48</v>
      </c>
      <c r="D50" t="s">
        <v>20</v>
      </c>
      <c r="E50" t="s">
        <v>39</v>
      </c>
      <c r="F50" t="s">
        <v>22</v>
      </c>
      <c r="G50">
        <v>1</v>
      </c>
      <c r="H50">
        <v>2030</v>
      </c>
      <c r="I50">
        <v>5376.72</v>
      </c>
      <c r="J50" t="s">
        <v>7</v>
      </c>
      <c r="K50" t="s">
        <v>39</v>
      </c>
    </row>
    <row r="51" spans="3:12">
      <c r="C51" t="s">
        <v>48</v>
      </c>
      <c r="D51" t="s">
        <v>20</v>
      </c>
      <c r="E51" t="s">
        <v>40</v>
      </c>
      <c r="F51" t="s">
        <v>22</v>
      </c>
      <c r="G51">
        <v>1</v>
      </c>
      <c r="H51">
        <v>2030</v>
      </c>
      <c r="I51">
        <v>751.12</v>
      </c>
      <c r="J51" t="s">
        <v>7</v>
      </c>
      <c r="K51" t="s">
        <v>471</v>
      </c>
    </row>
    <row r="52" spans="3:12">
      <c r="C52" t="s">
        <v>48</v>
      </c>
      <c r="D52" t="s">
        <v>20</v>
      </c>
      <c r="E52" t="s">
        <v>41</v>
      </c>
      <c r="F52" t="s">
        <v>22</v>
      </c>
      <c r="G52">
        <v>1</v>
      </c>
      <c r="H52">
        <v>2030</v>
      </c>
      <c r="I52">
        <v>2811.49</v>
      </c>
      <c r="J52" t="s">
        <v>7</v>
      </c>
      <c r="K52" t="s">
        <v>471</v>
      </c>
    </row>
    <row r="53" spans="3:12">
      <c r="C53" t="s">
        <v>48</v>
      </c>
      <c r="D53" t="s">
        <v>20</v>
      </c>
      <c r="E53" t="s">
        <v>42</v>
      </c>
      <c r="F53" t="s">
        <v>22</v>
      </c>
      <c r="G53">
        <v>1</v>
      </c>
      <c r="H53">
        <v>2030</v>
      </c>
      <c r="I53">
        <v>0</v>
      </c>
      <c r="J53" t="s">
        <v>7</v>
      </c>
      <c r="K53" t="s">
        <v>471</v>
      </c>
    </row>
    <row r="54" spans="3:12">
      <c r="C54" t="s">
        <v>48</v>
      </c>
      <c r="D54" t="s">
        <v>20</v>
      </c>
      <c r="E54" t="s">
        <v>43</v>
      </c>
      <c r="F54" t="s">
        <v>22</v>
      </c>
      <c r="G54">
        <v>1</v>
      </c>
      <c r="H54">
        <v>2030</v>
      </c>
      <c r="I54">
        <v>411.74</v>
      </c>
      <c r="J54" t="s">
        <v>7</v>
      </c>
      <c r="K54" t="s">
        <v>472</v>
      </c>
      <c r="L54" s="14"/>
    </row>
    <row r="55" spans="3:12">
      <c r="C55" t="s">
        <v>48</v>
      </c>
      <c r="D55" t="s">
        <v>20</v>
      </c>
      <c r="E55" t="s">
        <v>44</v>
      </c>
      <c r="F55" t="s">
        <v>22</v>
      </c>
      <c r="G55">
        <v>1</v>
      </c>
      <c r="H55">
        <v>2030</v>
      </c>
      <c r="I55">
        <v>50.41</v>
      </c>
      <c r="J55" t="s">
        <v>7</v>
      </c>
      <c r="K55" t="s">
        <v>474</v>
      </c>
      <c r="L55" s="14"/>
    </row>
    <row r="56" spans="3:12">
      <c r="C56" t="s">
        <v>48</v>
      </c>
      <c r="D56" t="s">
        <v>20</v>
      </c>
      <c r="E56" t="s">
        <v>45</v>
      </c>
      <c r="F56" t="s">
        <v>22</v>
      </c>
      <c r="G56">
        <v>1</v>
      </c>
      <c r="H56">
        <v>2030</v>
      </c>
      <c r="I56">
        <v>19877.89</v>
      </c>
      <c r="J56" t="s">
        <v>7</v>
      </c>
      <c r="K56" t="s">
        <v>37</v>
      </c>
      <c r="L56" s="14"/>
    </row>
    <row r="57" spans="3:12">
      <c r="C57" t="s">
        <v>48</v>
      </c>
      <c r="D57" t="s">
        <v>20</v>
      </c>
      <c r="E57" t="s">
        <v>46</v>
      </c>
      <c r="F57" t="s">
        <v>22</v>
      </c>
      <c r="G57">
        <v>1</v>
      </c>
      <c r="H57">
        <v>2030</v>
      </c>
      <c r="I57">
        <v>634.16</v>
      </c>
      <c r="J57" t="s">
        <v>7</v>
      </c>
      <c r="K57" t="s">
        <v>473</v>
      </c>
      <c r="L57" s="14"/>
    </row>
    <row r="58" spans="3:12">
      <c r="C58" t="s">
        <v>48</v>
      </c>
      <c r="D58" t="s">
        <v>20</v>
      </c>
      <c r="E58" t="s">
        <v>47</v>
      </c>
      <c r="F58" t="s">
        <v>22</v>
      </c>
      <c r="G58">
        <v>1</v>
      </c>
      <c r="H58">
        <v>2030</v>
      </c>
      <c r="I58">
        <v>177.9</v>
      </c>
      <c r="J58" t="s">
        <v>7</v>
      </c>
      <c r="K58" t="s">
        <v>473</v>
      </c>
      <c r="L58" s="14"/>
    </row>
    <row r="59" spans="3:12">
      <c r="C59" t="s">
        <v>49</v>
      </c>
      <c r="D59" t="s">
        <v>20</v>
      </c>
      <c r="E59" t="s">
        <v>21</v>
      </c>
      <c r="F59" t="s">
        <v>22</v>
      </c>
      <c r="G59">
        <v>1</v>
      </c>
      <c r="H59">
        <v>2030</v>
      </c>
      <c r="I59">
        <v>3770.79</v>
      </c>
      <c r="J59" t="s">
        <v>7</v>
      </c>
      <c r="K59" t="s">
        <v>21</v>
      </c>
      <c r="L59" s="14"/>
    </row>
    <row r="60" spans="3:12">
      <c r="C60" t="s">
        <v>49</v>
      </c>
      <c r="D60" t="s">
        <v>20</v>
      </c>
      <c r="E60" t="s">
        <v>23</v>
      </c>
      <c r="F60" t="s">
        <v>22</v>
      </c>
      <c r="G60">
        <v>1</v>
      </c>
      <c r="H60">
        <v>2030</v>
      </c>
      <c r="I60">
        <v>933.01</v>
      </c>
      <c r="J60" t="s">
        <v>7</v>
      </c>
      <c r="K60" t="s">
        <v>471</v>
      </c>
      <c r="L60" s="14"/>
    </row>
    <row r="61" spans="3:12">
      <c r="C61" t="s">
        <v>49</v>
      </c>
      <c r="D61" t="s">
        <v>20</v>
      </c>
      <c r="E61" t="s">
        <v>24</v>
      </c>
      <c r="F61" t="s">
        <v>22</v>
      </c>
      <c r="G61">
        <v>1</v>
      </c>
      <c r="H61">
        <v>2030</v>
      </c>
      <c r="I61">
        <v>26653.87</v>
      </c>
      <c r="J61" t="s">
        <v>7</v>
      </c>
      <c r="K61" t="s">
        <v>24</v>
      </c>
      <c r="L61" s="14"/>
    </row>
    <row r="62" spans="3:12">
      <c r="C62" t="s">
        <v>49</v>
      </c>
      <c r="D62" t="s">
        <v>20</v>
      </c>
      <c r="E62" t="s">
        <v>25</v>
      </c>
      <c r="F62" t="s">
        <v>22</v>
      </c>
      <c r="G62">
        <v>1</v>
      </c>
      <c r="H62">
        <v>2030</v>
      </c>
      <c r="I62">
        <v>22809.54</v>
      </c>
      <c r="J62" t="s">
        <v>7</v>
      </c>
      <c r="K62" t="s">
        <v>203</v>
      </c>
      <c r="L62" s="14"/>
    </row>
    <row r="63" spans="3:12">
      <c r="C63" t="s">
        <v>49</v>
      </c>
      <c r="D63" t="s">
        <v>20</v>
      </c>
      <c r="E63" t="s">
        <v>26</v>
      </c>
      <c r="F63" t="s">
        <v>22</v>
      </c>
      <c r="G63">
        <v>1</v>
      </c>
      <c r="H63">
        <v>2030</v>
      </c>
      <c r="I63">
        <v>12202.44</v>
      </c>
      <c r="J63" t="s">
        <v>7</v>
      </c>
      <c r="K63" t="s">
        <v>472</v>
      </c>
      <c r="L63" s="14"/>
    </row>
    <row r="64" spans="3:12">
      <c r="C64" t="s">
        <v>49</v>
      </c>
      <c r="D64" t="s">
        <v>20</v>
      </c>
      <c r="E64" t="s">
        <v>27</v>
      </c>
      <c r="F64" t="s">
        <v>22</v>
      </c>
      <c r="G64">
        <v>1</v>
      </c>
      <c r="H64">
        <v>2030</v>
      </c>
      <c r="I64">
        <v>4367.37</v>
      </c>
      <c r="J64" t="s">
        <v>7</v>
      </c>
      <c r="K64" t="s">
        <v>471</v>
      </c>
      <c r="L64" s="14"/>
    </row>
    <row r="65" spans="3:12">
      <c r="C65" t="s">
        <v>49</v>
      </c>
      <c r="D65" t="s">
        <v>20</v>
      </c>
      <c r="E65" t="s">
        <v>28</v>
      </c>
      <c r="F65" t="s">
        <v>22</v>
      </c>
      <c r="G65">
        <v>1</v>
      </c>
      <c r="H65">
        <v>2030</v>
      </c>
      <c r="I65">
        <v>4183.09</v>
      </c>
      <c r="J65" t="s">
        <v>7</v>
      </c>
      <c r="K65" t="s">
        <v>471</v>
      </c>
      <c r="L65" s="14"/>
    </row>
    <row r="66" spans="3:12">
      <c r="C66" t="s">
        <v>49</v>
      </c>
      <c r="D66" t="s">
        <v>20</v>
      </c>
      <c r="E66" t="s">
        <v>29</v>
      </c>
      <c r="F66" t="s">
        <v>22</v>
      </c>
      <c r="G66">
        <v>1</v>
      </c>
      <c r="H66">
        <v>2030</v>
      </c>
      <c r="I66">
        <v>0.79</v>
      </c>
      <c r="J66" t="s">
        <v>7</v>
      </c>
      <c r="K66" t="s">
        <v>471</v>
      </c>
      <c r="L66" s="14"/>
    </row>
    <row r="67" spans="3:12">
      <c r="C67" t="s">
        <v>49</v>
      </c>
      <c r="D67" t="s">
        <v>20</v>
      </c>
      <c r="E67" t="s">
        <v>30</v>
      </c>
      <c r="F67" t="s">
        <v>22</v>
      </c>
      <c r="G67">
        <v>1</v>
      </c>
      <c r="H67">
        <v>2030</v>
      </c>
      <c r="I67">
        <v>64068.17</v>
      </c>
      <c r="J67" t="s">
        <v>7</v>
      </c>
      <c r="K67" t="s">
        <v>30</v>
      </c>
      <c r="L67" s="14"/>
    </row>
    <row r="68" spans="3:12">
      <c r="C68" t="s">
        <v>49</v>
      </c>
      <c r="D68" t="s">
        <v>20</v>
      </c>
      <c r="E68" t="s">
        <v>50</v>
      </c>
      <c r="F68" t="s">
        <v>22</v>
      </c>
      <c r="G68">
        <v>1</v>
      </c>
      <c r="H68">
        <v>2030</v>
      </c>
      <c r="I68">
        <v>0</v>
      </c>
      <c r="J68" t="s">
        <v>7</v>
      </c>
      <c r="K68" t="s">
        <v>471</v>
      </c>
      <c r="L68" s="14"/>
    </row>
    <row r="69" spans="3:12">
      <c r="C69" t="s">
        <v>49</v>
      </c>
      <c r="D69" t="s">
        <v>20</v>
      </c>
      <c r="E69" t="s">
        <v>34</v>
      </c>
      <c r="F69" t="s">
        <v>22</v>
      </c>
      <c r="G69">
        <v>1</v>
      </c>
      <c r="H69">
        <v>2030</v>
      </c>
      <c r="I69">
        <v>57.28</v>
      </c>
      <c r="J69" t="s">
        <v>7</v>
      </c>
      <c r="K69" t="s">
        <v>471</v>
      </c>
      <c r="L69" s="14"/>
    </row>
    <row r="70" spans="3:12">
      <c r="C70" t="s">
        <v>49</v>
      </c>
      <c r="D70" t="s">
        <v>20</v>
      </c>
      <c r="E70" t="s">
        <v>35</v>
      </c>
      <c r="F70" t="s">
        <v>22</v>
      </c>
      <c r="G70">
        <v>1</v>
      </c>
      <c r="H70">
        <v>2030</v>
      </c>
      <c r="I70">
        <v>476.01</v>
      </c>
      <c r="J70" t="s">
        <v>7</v>
      </c>
      <c r="K70" t="s">
        <v>471</v>
      </c>
      <c r="L70" s="14"/>
    </row>
    <row r="71" spans="3:12">
      <c r="C71" t="s">
        <v>49</v>
      </c>
      <c r="D71" t="s">
        <v>20</v>
      </c>
      <c r="E71" t="s">
        <v>36</v>
      </c>
      <c r="F71" t="s">
        <v>22</v>
      </c>
      <c r="G71">
        <v>1</v>
      </c>
      <c r="H71">
        <v>2030</v>
      </c>
      <c r="I71">
        <v>11143.84</v>
      </c>
      <c r="J71" t="s">
        <v>7</v>
      </c>
      <c r="K71" t="s">
        <v>473</v>
      </c>
      <c r="L71" s="14"/>
    </row>
    <row r="72" spans="3:12">
      <c r="C72" t="s">
        <v>49</v>
      </c>
      <c r="D72" t="s">
        <v>20</v>
      </c>
      <c r="E72" t="s">
        <v>37</v>
      </c>
      <c r="F72" t="s">
        <v>22</v>
      </c>
      <c r="G72">
        <v>1</v>
      </c>
      <c r="H72">
        <v>2030</v>
      </c>
      <c r="I72">
        <v>109649.33</v>
      </c>
      <c r="J72" t="s">
        <v>7</v>
      </c>
      <c r="K72" t="s">
        <v>37</v>
      </c>
      <c r="L72" s="14"/>
    </row>
    <row r="73" spans="3:12">
      <c r="C73" t="s">
        <v>49</v>
      </c>
      <c r="D73" t="s">
        <v>20</v>
      </c>
      <c r="E73" t="s">
        <v>38</v>
      </c>
      <c r="F73" t="s">
        <v>22</v>
      </c>
      <c r="G73">
        <v>1</v>
      </c>
      <c r="H73">
        <v>2030</v>
      </c>
      <c r="I73">
        <v>50191.18</v>
      </c>
      <c r="J73" t="s">
        <v>7</v>
      </c>
      <c r="K73" t="s">
        <v>38</v>
      </c>
      <c r="L73" s="14"/>
    </row>
    <row r="74" spans="3:12">
      <c r="C74" t="s">
        <v>49</v>
      </c>
      <c r="D74" t="s">
        <v>20</v>
      </c>
      <c r="E74" t="s">
        <v>39</v>
      </c>
      <c r="F74" t="s">
        <v>22</v>
      </c>
      <c r="G74">
        <v>1</v>
      </c>
      <c r="H74">
        <v>2030</v>
      </c>
      <c r="I74">
        <v>1643.37</v>
      </c>
      <c r="J74" t="s">
        <v>7</v>
      </c>
      <c r="K74" t="s">
        <v>39</v>
      </c>
      <c r="L74" s="14"/>
    </row>
    <row r="75" spans="3:12">
      <c r="C75" t="s">
        <v>49</v>
      </c>
      <c r="D75" t="s">
        <v>20</v>
      </c>
      <c r="E75" t="s">
        <v>40</v>
      </c>
      <c r="F75" t="s">
        <v>22</v>
      </c>
      <c r="G75">
        <v>1</v>
      </c>
      <c r="H75">
        <v>2030</v>
      </c>
      <c r="I75">
        <v>751.12</v>
      </c>
      <c r="J75" t="s">
        <v>7</v>
      </c>
      <c r="K75" t="s">
        <v>471</v>
      </c>
      <c r="L75" s="14"/>
    </row>
    <row r="76" spans="3:12">
      <c r="C76" t="s">
        <v>49</v>
      </c>
      <c r="D76" t="s">
        <v>20</v>
      </c>
      <c r="E76" t="s">
        <v>41</v>
      </c>
      <c r="F76" t="s">
        <v>22</v>
      </c>
      <c r="G76">
        <v>1</v>
      </c>
      <c r="H76">
        <v>2030</v>
      </c>
      <c r="I76">
        <v>2747.15</v>
      </c>
      <c r="J76" t="s">
        <v>7</v>
      </c>
      <c r="K76" t="s">
        <v>471</v>
      </c>
      <c r="L76" s="14"/>
    </row>
    <row r="77" spans="3:12">
      <c r="C77" t="s">
        <v>49</v>
      </c>
      <c r="D77" t="s">
        <v>20</v>
      </c>
      <c r="E77" t="s">
        <v>42</v>
      </c>
      <c r="F77" t="s">
        <v>22</v>
      </c>
      <c r="G77">
        <v>1</v>
      </c>
      <c r="H77">
        <v>2030</v>
      </c>
      <c r="I77">
        <v>0</v>
      </c>
      <c r="J77" t="s">
        <v>7</v>
      </c>
      <c r="K77" t="s">
        <v>471</v>
      </c>
    </row>
    <row r="78" spans="3:12">
      <c r="C78" t="s">
        <v>49</v>
      </c>
      <c r="D78" t="s">
        <v>20</v>
      </c>
      <c r="E78" t="s">
        <v>43</v>
      </c>
      <c r="F78" t="s">
        <v>22</v>
      </c>
      <c r="G78">
        <v>1</v>
      </c>
      <c r="H78">
        <v>2030</v>
      </c>
      <c r="I78">
        <v>103.24</v>
      </c>
      <c r="J78" t="s">
        <v>7</v>
      </c>
      <c r="K78" t="s">
        <v>472</v>
      </c>
    </row>
    <row r="79" spans="3:12">
      <c r="C79" t="s">
        <v>49</v>
      </c>
      <c r="D79" t="s">
        <v>20</v>
      </c>
      <c r="E79" t="s">
        <v>46</v>
      </c>
      <c r="F79" t="s">
        <v>22</v>
      </c>
      <c r="G79">
        <v>1</v>
      </c>
      <c r="H79">
        <v>2030</v>
      </c>
      <c r="I79">
        <v>801.34</v>
      </c>
      <c r="J79" t="s">
        <v>7</v>
      </c>
      <c r="K79" t="s">
        <v>473</v>
      </c>
    </row>
  </sheetData>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A940E-289C-4203-8DAB-D334DEC1FFB0}">
  <sheetPr codeName="Sheet37"/>
  <dimension ref="B2:X38"/>
  <sheetViews>
    <sheetView workbookViewId="0"/>
  </sheetViews>
  <sheetFormatPr defaultRowHeight="14"/>
  <cols>
    <col min="2" max="2" width="15.4140625" customWidth="1"/>
    <col min="3" max="3" width="26.75" customWidth="1"/>
    <col min="4" max="4" width="23" customWidth="1"/>
    <col min="5" max="7" width="26.75" customWidth="1"/>
    <col min="8" max="8" width="27.25" bestFit="1" customWidth="1"/>
    <col min="10" max="10" width="22.75" customWidth="1"/>
    <col min="12" max="12" width="18.25" customWidth="1"/>
    <col min="13" max="13" width="9.25" bestFit="1" customWidth="1"/>
  </cols>
  <sheetData>
    <row r="2" spans="2:24">
      <c r="B2" s="96" t="s">
        <v>4</v>
      </c>
      <c r="C2" s="43" t="s">
        <v>302</v>
      </c>
      <c r="D2" s="43"/>
      <c r="E2" s="43"/>
      <c r="F2" s="43"/>
      <c r="G2" s="43"/>
      <c r="H2" s="43"/>
      <c r="I2" s="43"/>
      <c r="J2" s="43"/>
      <c r="K2" s="43"/>
      <c r="L2" s="43"/>
      <c r="M2" s="43"/>
      <c r="N2" s="43"/>
      <c r="O2" s="43"/>
      <c r="P2" s="43"/>
      <c r="Q2" s="43"/>
      <c r="R2" s="43"/>
      <c r="S2" s="43"/>
      <c r="T2" s="43"/>
      <c r="U2" s="43"/>
      <c r="V2" s="43"/>
      <c r="W2" s="43"/>
      <c r="X2" s="43"/>
    </row>
    <row r="3" spans="2:24">
      <c r="B3" s="96" t="s">
        <v>138</v>
      </c>
      <c r="C3" s="43" t="s">
        <v>303</v>
      </c>
      <c r="D3" s="43"/>
      <c r="E3" s="43"/>
      <c r="F3" s="43"/>
      <c r="G3" s="43"/>
      <c r="H3" s="43"/>
      <c r="I3" s="43"/>
      <c r="J3" s="43"/>
      <c r="K3" s="43"/>
      <c r="L3" s="43"/>
      <c r="M3" s="43"/>
      <c r="N3" s="43"/>
      <c r="O3" s="43"/>
      <c r="P3" s="43"/>
      <c r="Q3" s="43"/>
      <c r="R3" s="43"/>
      <c r="S3" s="43"/>
      <c r="T3" s="43"/>
      <c r="U3" s="43"/>
      <c r="V3" s="43"/>
      <c r="W3" s="43"/>
      <c r="X3" s="43"/>
    </row>
    <row r="4" spans="2:24">
      <c r="B4" s="96" t="s">
        <v>8</v>
      </c>
      <c r="C4" s="62" t="s">
        <v>196</v>
      </c>
      <c r="D4" s="43"/>
      <c r="E4" s="43"/>
      <c r="F4" s="43"/>
      <c r="G4" s="43"/>
      <c r="H4" s="43"/>
      <c r="I4" s="43"/>
      <c r="J4" s="43"/>
      <c r="K4" s="43"/>
      <c r="L4" s="43"/>
      <c r="M4" s="43"/>
      <c r="N4" s="43"/>
      <c r="O4" s="43"/>
      <c r="P4" s="43"/>
      <c r="Q4" s="43"/>
      <c r="R4" s="43"/>
      <c r="S4" s="43"/>
      <c r="T4" s="43"/>
      <c r="U4" s="43"/>
      <c r="V4" s="43"/>
      <c r="W4" s="43"/>
      <c r="X4" s="43"/>
    </row>
    <row r="5" spans="2:24">
      <c r="B5" s="43"/>
      <c r="C5" s="43"/>
      <c r="D5" s="43"/>
      <c r="E5" s="43"/>
      <c r="F5" s="43"/>
      <c r="G5" s="43"/>
      <c r="H5" s="43"/>
      <c r="I5" s="43"/>
      <c r="J5" s="43"/>
      <c r="K5" s="43"/>
      <c r="L5" s="43"/>
      <c r="M5" s="43"/>
      <c r="N5" s="43"/>
      <c r="O5" s="43"/>
      <c r="P5" s="43"/>
      <c r="Q5" s="43"/>
      <c r="R5" s="43"/>
      <c r="S5" s="43"/>
      <c r="T5" s="43"/>
      <c r="U5" s="43"/>
      <c r="V5" s="43"/>
      <c r="W5" s="43"/>
      <c r="X5" s="43"/>
    </row>
    <row r="6" spans="2:24" s="19" customFormat="1">
      <c r="B6" s="97" t="s">
        <v>304</v>
      </c>
      <c r="C6" s="98"/>
      <c r="D6" s="98"/>
      <c r="E6" s="98"/>
      <c r="F6" s="98"/>
      <c r="G6" s="98"/>
      <c r="H6" s="98"/>
      <c r="I6" s="98"/>
      <c r="J6" s="98"/>
      <c r="K6" s="98"/>
      <c r="L6" s="98"/>
      <c r="M6" s="98"/>
      <c r="N6" s="98"/>
      <c r="O6" s="98"/>
      <c r="P6" s="98"/>
      <c r="Q6" s="98"/>
      <c r="R6" s="98"/>
      <c r="S6" s="98"/>
      <c r="T6" s="98"/>
      <c r="U6" s="98"/>
      <c r="V6" s="98"/>
      <c r="W6" s="98"/>
      <c r="X6" s="98"/>
    </row>
    <row r="7" spans="2:24">
      <c r="B7" s="43"/>
      <c r="C7" s="43"/>
      <c r="D7" s="43"/>
      <c r="E7" s="43"/>
      <c r="F7" s="43"/>
      <c r="G7" s="43"/>
      <c r="H7" s="43"/>
      <c r="I7" s="43"/>
      <c r="J7" s="43"/>
      <c r="K7" s="43"/>
      <c r="L7" s="43"/>
      <c r="M7" s="43"/>
      <c r="N7" s="43"/>
      <c r="O7" s="43"/>
      <c r="P7" s="43"/>
      <c r="Q7" s="43"/>
      <c r="R7" s="43"/>
      <c r="S7" s="43"/>
      <c r="T7" s="43"/>
      <c r="U7" s="43"/>
      <c r="V7" s="43"/>
      <c r="W7" s="43"/>
      <c r="X7" s="43"/>
    </row>
    <row r="8" spans="2:24">
      <c r="B8" s="168" t="s">
        <v>305</v>
      </c>
      <c r="C8" s="43"/>
      <c r="D8" s="43"/>
      <c r="E8" s="43"/>
      <c r="F8" s="43"/>
      <c r="G8" s="43"/>
      <c r="H8" s="43"/>
      <c r="I8" s="43"/>
      <c r="J8" s="43"/>
      <c r="K8" s="43"/>
      <c r="L8" s="43"/>
      <c r="M8" s="43"/>
      <c r="N8" s="43"/>
      <c r="O8" s="43"/>
      <c r="P8" s="43"/>
      <c r="Q8" s="43"/>
      <c r="R8" s="43"/>
      <c r="S8" s="43"/>
      <c r="T8" s="43"/>
      <c r="U8" s="43"/>
      <c r="V8" s="43"/>
      <c r="W8" s="43"/>
      <c r="X8" s="43"/>
    </row>
    <row r="9" spans="2:24">
      <c r="B9" s="43"/>
      <c r="C9" s="43"/>
      <c r="D9" s="43"/>
      <c r="E9" s="43"/>
      <c r="F9" s="43"/>
      <c r="G9" s="43"/>
      <c r="H9" s="43"/>
      <c r="I9" s="43"/>
      <c r="J9" s="43"/>
      <c r="K9" s="43"/>
      <c r="L9" s="43"/>
      <c r="M9" s="43"/>
      <c r="N9" s="43"/>
      <c r="O9" s="43"/>
      <c r="P9" s="43"/>
      <c r="Q9" s="43"/>
      <c r="R9" s="43"/>
      <c r="S9" s="43"/>
      <c r="T9" s="43"/>
      <c r="U9" s="43"/>
      <c r="V9" s="43"/>
      <c r="W9" s="43"/>
      <c r="X9" s="43"/>
    </row>
    <row r="10" spans="2:24">
      <c r="C10" s="44" t="s">
        <v>306</v>
      </c>
      <c r="D10" s="44" t="s">
        <v>307</v>
      </c>
      <c r="E10" s="44" t="s">
        <v>308</v>
      </c>
      <c r="F10" s="44" t="s">
        <v>309</v>
      </c>
      <c r="G10" s="44" t="s">
        <v>310</v>
      </c>
      <c r="H10" s="44" t="s">
        <v>311</v>
      </c>
      <c r="I10" s="43"/>
      <c r="O10" s="43"/>
      <c r="P10" s="43"/>
      <c r="Q10" s="43"/>
      <c r="R10" s="43"/>
      <c r="S10" s="43"/>
      <c r="T10" s="43"/>
      <c r="U10" s="43"/>
      <c r="V10" s="43"/>
      <c r="W10" s="43"/>
      <c r="X10" s="43"/>
    </row>
    <row r="11" spans="2:24">
      <c r="B11" t="s">
        <v>49</v>
      </c>
      <c r="C11" s="169">
        <v>5640.0376825731119</v>
      </c>
      <c r="D11" s="169">
        <v>4834.022337299999</v>
      </c>
      <c r="E11" s="135">
        <f>C11+D11</f>
        <v>10474.060019873112</v>
      </c>
      <c r="F11" s="163">
        <f>C11/'XR&amp;Inflation'!$C$24</f>
        <v>4808.2162681782711</v>
      </c>
      <c r="G11" s="163">
        <f>D11/'XR&amp;Inflation'!$C$24</f>
        <v>4121.0761613810728</v>
      </c>
      <c r="H11" s="163">
        <f>E11/'XR&amp;Inflation'!$C$24</f>
        <v>8929.2924295593439</v>
      </c>
      <c r="I11" s="43"/>
      <c r="O11" s="43"/>
      <c r="P11" s="43"/>
      <c r="Q11" s="43"/>
      <c r="R11" s="43"/>
      <c r="S11" s="43"/>
      <c r="T11" s="43"/>
      <c r="U11" s="43"/>
      <c r="V11" s="43"/>
      <c r="W11" s="43"/>
      <c r="X11" s="43"/>
    </row>
    <row r="12" spans="2:24">
      <c r="B12" t="s">
        <v>19</v>
      </c>
      <c r="C12" s="169">
        <v>2472.757040050406</v>
      </c>
      <c r="D12" s="169">
        <v>3317.3072469000003</v>
      </c>
      <c r="E12" s="135">
        <f t="shared" ref="E12:E13" si="0">C12+D12</f>
        <v>5790.0642869504063</v>
      </c>
      <c r="F12" s="163">
        <f>C12/'XR&amp;Inflation'!$C$24</f>
        <v>2108.0622677326564</v>
      </c>
      <c r="G12" s="163">
        <f>D12/'XR&amp;Inflation'!$C$24</f>
        <v>2828.0539189258316</v>
      </c>
      <c r="H12" s="163">
        <f>E12/'XR&amp;Inflation'!$C$24</f>
        <v>4936.116186658488</v>
      </c>
      <c r="I12" s="43"/>
      <c r="O12" s="43"/>
      <c r="P12" s="43"/>
      <c r="Q12" s="43"/>
      <c r="R12" s="43"/>
      <c r="S12" s="43"/>
      <c r="T12" s="43"/>
      <c r="U12" s="43"/>
      <c r="V12" s="43"/>
      <c r="W12" s="43"/>
      <c r="X12" s="43"/>
    </row>
    <row r="13" spans="2:24">
      <c r="B13" t="s">
        <v>48</v>
      </c>
      <c r="C13" s="169">
        <v>2171.5975650086743</v>
      </c>
      <c r="D13" s="169">
        <v>4513.0466925999999</v>
      </c>
      <c r="E13" s="135">
        <f t="shared" si="0"/>
        <v>6684.6442576086738</v>
      </c>
      <c r="F13" s="163">
        <f>C13/'XR&amp;Inflation'!$C$24</f>
        <v>1851.3193222580344</v>
      </c>
      <c r="G13" s="163">
        <f>D13/'XR&amp;Inflation'!$C$24</f>
        <v>3847.4396356351235</v>
      </c>
      <c r="H13" s="163">
        <f>E13/'XR&amp;Inflation'!$C$24</f>
        <v>5698.7589578931575</v>
      </c>
      <c r="I13" s="43"/>
      <c r="O13" s="43"/>
      <c r="P13" s="43"/>
      <c r="Q13" s="43"/>
      <c r="R13" s="43"/>
      <c r="S13" s="43"/>
      <c r="T13" s="43"/>
      <c r="U13" s="43"/>
      <c r="V13" s="43"/>
      <c r="W13" s="43"/>
      <c r="X13" s="43"/>
    </row>
    <row r="14" spans="2:24">
      <c r="B14" s="43"/>
      <c r="C14" s="63"/>
      <c r="D14" s="63"/>
      <c r="E14" s="46"/>
      <c r="F14" s="63"/>
      <c r="G14" s="63"/>
      <c r="H14" s="63"/>
      <c r="I14" s="43"/>
      <c r="J14" s="43"/>
      <c r="K14" s="43"/>
      <c r="L14" s="43"/>
      <c r="M14" s="43"/>
      <c r="N14" s="43"/>
      <c r="O14" s="43"/>
      <c r="P14" s="43"/>
      <c r="Q14" s="43"/>
      <c r="R14" s="43"/>
      <c r="S14" s="43"/>
      <c r="T14" s="43"/>
      <c r="U14" s="43"/>
      <c r="V14" s="43"/>
      <c r="W14" s="43"/>
      <c r="X14" s="43"/>
    </row>
    <row r="15" spans="2:24">
      <c r="B15" s="115"/>
      <c r="C15" s="63"/>
      <c r="D15" s="63"/>
      <c r="E15" s="46"/>
      <c r="F15" s="63"/>
      <c r="G15" s="63"/>
      <c r="H15" s="63"/>
      <c r="I15" s="43"/>
      <c r="J15" s="43"/>
      <c r="K15" s="43"/>
      <c r="L15" s="43"/>
      <c r="M15" s="43"/>
      <c r="N15" s="43"/>
      <c r="O15" s="43"/>
      <c r="P15" s="43"/>
      <c r="Q15" s="43"/>
      <c r="R15" s="43"/>
      <c r="S15" s="43"/>
      <c r="T15" s="43"/>
      <c r="U15" s="43"/>
      <c r="V15" s="43"/>
      <c r="W15" s="43"/>
      <c r="X15" s="43"/>
    </row>
    <row r="16" spans="2:24">
      <c r="B16" s="43"/>
      <c r="C16" s="43"/>
      <c r="D16" s="43"/>
      <c r="E16" s="43"/>
      <c r="F16" s="43"/>
      <c r="G16" s="43"/>
      <c r="H16" s="43"/>
      <c r="I16" s="43"/>
      <c r="J16" s="43"/>
      <c r="K16" s="43"/>
      <c r="L16" s="43"/>
      <c r="M16" s="43"/>
      <c r="N16" s="43"/>
      <c r="O16" s="43"/>
      <c r="P16" s="43"/>
      <c r="Q16" s="43"/>
      <c r="R16" s="43"/>
      <c r="S16" s="43"/>
      <c r="T16" s="43"/>
      <c r="U16" s="43"/>
      <c r="V16" s="43"/>
      <c r="W16" s="43"/>
      <c r="X16" s="43"/>
    </row>
    <row r="17" spans="2:24">
      <c r="B17" s="43"/>
      <c r="C17" s="61"/>
      <c r="D17" s="61"/>
      <c r="E17" s="43"/>
      <c r="F17" s="43"/>
      <c r="G17" s="43"/>
      <c r="H17" s="61"/>
      <c r="I17" s="43"/>
      <c r="J17" s="61"/>
      <c r="K17" s="61"/>
      <c r="L17" s="61"/>
      <c r="M17" s="61"/>
      <c r="N17" s="61"/>
      <c r="O17" s="61"/>
      <c r="P17" s="61"/>
      <c r="Q17" s="61"/>
      <c r="R17" s="61"/>
      <c r="S17" s="61"/>
      <c r="T17" s="61"/>
      <c r="U17" s="61"/>
      <c r="V17" s="61"/>
      <c r="W17" s="61"/>
      <c r="X17" s="61"/>
    </row>
    <row r="18" spans="2:24">
      <c r="B18" s="43"/>
      <c r="C18" s="66"/>
      <c r="D18" s="43"/>
      <c r="E18" s="66"/>
      <c r="F18" s="66"/>
      <c r="G18" s="66"/>
      <c r="H18" s="45"/>
      <c r="I18" s="43"/>
      <c r="J18" s="45"/>
      <c r="K18" s="45"/>
      <c r="L18" s="45"/>
      <c r="M18" s="45"/>
      <c r="N18" s="45"/>
      <c r="O18" s="45"/>
      <c r="P18" s="45"/>
      <c r="Q18" s="45"/>
      <c r="R18" s="45"/>
      <c r="S18" s="45"/>
      <c r="T18" s="45"/>
      <c r="U18" s="45"/>
      <c r="V18" s="45"/>
      <c r="W18" s="45"/>
      <c r="X18" s="45"/>
    </row>
    <row r="19" spans="2:24">
      <c r="B19" s="43"/>
      <c r="C19" s="67"/>
      <c r="D19" s="43"/>
      <c r="E19" s="67"/>
      <c r="F19" s="67"/>
      <c r="G19" s="67"/>
      <c r="H19" s="45"/>
      <c r="I19" s="43"/>
      <c r="J19" s="45"/>
      <c r="K19" s="45"/>
      <c r="L19" s="45"/>
      <c r="M19" s="45"/>
      <c r="N19" s="45"/>
      <c r="O19" s="45"/>
      <c r="P19" s="45"/>
      <c r="Q19" s="45"/>
      <c r="R19" s="45"/>
      <c r="S19" s="45"/>
      <c r="T19" s="45"/>
      <c r="U19" s="45"/>
      <c r="V19" s="45"/>
      <c r="W19" s="45"/>
      <c r="X19" s="45"/>
    </row>
    <row r="20" spans="2:24">
      <c r="B20" s="43"/>
      <c r="C20" s="67"/>
      <c r="D20" s="43"/>
      <c r="E20" s="67"/>
      <c r="F20" s="67"/>
      <c r="G20" s="67"/>
      <c r="H20" s="45"/>
      <c r="I20" s="43"/>
      <c r="J20" s="45"/>
      <c r="K20" s="45"/>
      <c r="L20" s="45"/>
      <c r="M20" s="45"/>
      <c r="N20" s="45"/>
      <c r="O20" s="45"/>
      <c r="P20" s="45"/>
      <c r="Q20" s="45"/>
      <c r="R20" s="45"/>
      <c r="S20" s="45"/>
      <c r="T20" s="45"/>
      <c r="U20" s="45"/>
      <c r="V20" s="45"/>
      <c r="W20" s="45"/>
      <c r="X20" s="45"/>
    </row>
    <row r="21" spans="2:24">
      <c r="B21" s="43"/>
      <c r="C21" s="67"/>
      <c r="D21" s="43"/>
      <c r="E21" s="67"/>
      <c r="F21" s="67"/>
      <c r="G21" s="67"/>
      <c r="H21" s="45"/>
      <c r="I21" s="43"/>
      <c r="J21" s="45"/>
      <c r="K21" s="45"/>
      <c r="L21" s="45"/>
      <c r="M21" s="45"/>
      <c r="N21" s="45"/>
      <c r="O21" s="45"/>
      <c r="P21" s="45"/>
      <c r="Q21" s="45"/>
      <c r="R21" s="45"/>
      <c r="S21" s="45"/>
      <c r="T21" s="45"/>
      <c r="U21" s="45"/>
      <c r="V21" s="45"/>
      <c r="W21" s="45"/>
      <c r="X21" s="45"/>
    </row>
    <row r="22" spans="2:24">
      <c r="B22" s="43"/>
      <c r="C22" s="67"/>
      <c r="D22" s="43"/>
      <c r="E22" s="67"/>
      <c r="F22" s="67"/>
      <c r="G22" s="67"/>
      <c r="H22" s="43"/>
      <c r="I22" s="43"/>
      <c r="J22" s="43"/>
      <c r="K22" s="43"/>
      <c r="L22" s="43"/>
      <c r="M22" s="43"/>
      <c r="N22" s="43"/>
      <c r="O22" s="43"/>
      <c r="P22" s="43"/>
      <c r="Q22" s="43"/>
      <c r="R22" s="43"/>
      <c r="S22" s="43"/>
      <c r="T22" s="43"/>
      <c r="U22" s="43"/>
      <c r="V22" s="43"/>
      <c r="W22" s="43"/>
      <c r="X22" s="43"/>
    </row>
    <row r="23" spans="2:24">
      <c r="B23" s="43"/>
      <c r="C23" s="43"/>
      <c r="D23" s="43"/>
      <c r="E23" s="43"/>
      <c r="F23" s="43"/>
      <c r="G23" s="43"/>
      <c r="H23" s="43"/>
      <c r="I23" s="43"/>
      <c r="J23" s="43"/>
      <c r="K23" s="43"/>
      <c r="L23" s="43"/>
      <c r="M23" s="43"/>
      <c r="N23" s="43"/>
      <c r="O23" s="43"/>
      <c r="P23" s="43"/>
      <c r="Q23" s="43"/>
      <c r="R23" s="43"/>
      <c r="S23" s="43"/>
      <c r="T23" s="43"/>
      <c r="U23" s="43"/>
      <c r="V23" s="43"/>
      <c r="W23" s="43"/>
      <c r="X23" s="43"/>
    </row>
    <row r="24" spans="2:24">
      <c r="B24" s="61"/>
      <c r="C24" s="43"/>
      <c r="D24" s="43"/>
      <c r="E24" s="43"/>
      <c r="F24" s="43"/>
      <c r="G24" s="43"/>
      <c r="H24" s="43"/>
      <c r="I24" s="43"/>
      <c r="J24" s="43"/>
      <c r="K24" s="43"/>
      <c r="L24" s="43"/>
      <c r="M24" s="43"/>
      <c r="N24" s="43"/>
      <c r="O24" s="43"/>
      <c r="P24" s="43"/>
      <c r="Q24" s="43"/>
      <c r="R24" s="43"/>
      <c r="S24" s="43"/>
      <c r="T24" s="43"/>
      <c r="U24" s="43"/>
      <c r="V24" s="43"/>
      <c r="W24" s="43"/>
      <c r="X24" s="43"/>
    </row>
    <row r="25" spans="2:24">
      <c r="B25" s="43"/>
      <c r="C25" s="43"/>
      <c r="D25" s="43"/>
      <c r="E25" s="43"/>
      <c r="F25" s="43"/>
      <c r="G25" s="43"/>
      <c r="H25" s="43"/>
      <c r="I25" s="43"/>
      <c r="J25" s="43"/>
      <c r="K25" s="43"/>
      <c r="L25" s="43"/>
      <c r="M25" s="43"/>
      <c r="N25" s="43"/>
      <c r="O25" s="43"/>
      <c r="P25" s="43"/>
      <c r="Q25" s="43"/>
      <c r="R25" s="43"/>
      <c r="S25" s="43"/>
      <c r="T25" s="43"/>
      <c r="U25" s="43"/>
      <c r="V25" s="43"/>
      <c r="W25" s="43"/>
      <c r="X25" s="43"/>
    </row>
    <row r="26" spans="2:24">
      <c r="B26" s="43"/>
      <c r="C26" s="61"/>
      <c r="D26" s="61"/>
      <c r="E26" s="43"/>
      <c r="F26" s="43"/>
      <c r="G26" s="43"/>
      <c r="H26" s="61"/>
      <c r="I26" s="43"/>
      <c r="J26" s="61"/>
      <c r="K26" s="61"/>
      <c r="L26" s="61"/>
      <c r="M26" s="61"/>
      <c r="N26" s="61"/>
      <c r="O26" s="61"/>
      <c r="P26" s="61"/>
      <c r="Q26" s="61"/>
      <c r="R26" s="61"/>
      <c r="S26" s="61"/>
      <c r="T26" s="61"/>
      <c r="U26" s="61"/>
      <c r="V26" s="61"/>
      <c r="W26" s="61"/>
      <c r="X26" s="61"/>
    </row>
    <row r="27" spans="2:24">
      <c r="B27" s="43"/>
      <c r="C27" s="43"/>
      <c r="D27" s="45"/>
      <c r="E27" s="43"/>
      <c r="F27" s="43"/>
      <c r="G27" s="43"/>
      <c r="H27" s="43"/>
      <c r="I27" s="43"/>
      <c r="J27" s="45"/>
      <c r="K27" s="45"/>
      <c r="L27" s="45"/>
      <c r="M27" s="45"/>
      <c r="N27" s="45"/>
      <c r="O27" s="45"/>
      <c r="P27" s="45"/>
      <c r="Q27" s="45"/>
      <c r="R27" s="45"/>
      <c r="S27" s="45"/>
      <c r="T27" s="45"/>
      <c r="U27" s="45"/>
      <c r="V27" s="45"/>
      <c r="W27" s="45"/>
      <c r="X27" s="45"/>
    </row>
    <row r="28" spans="2:24">
      <c r="B28" s="43"/>
      <c r="C28" s="43"/>
      <c r="D28" s="45"/>
      <c r="E28" s="43"/>
      <c r="F28" s="43"/>
      <c r="G28" s="43"/>
      <c r="H28" s="43"/>
      <c r="I28" s="43"/>
      <c r="J28" s="45"/>
      <c r="K28" s="45"/>
      <c r="L28" s="45"/>
      <c r="M28" s="45"/>
      <c r="N28" s="45"/>
      <c r="O28" s="45"/>
      <c r="P28" s="45"/>
      <c r="Q28" s="45"/>
      <c r="R28" s="45"/>
      <c r="S28" s="45"/>
      <c r="T28" s="45"/>
      <c r="U28" s="45"/>
      <c r="V28" s="45"/>
      <c r="W28" s="45"/>
      <c r="X28" s="45"/>
    </row>
    <row r="29" spans="2:24">
      <c r="B29" s="43"/>
      <c r="C29" s="43"/>
      <c r="D29" s="45"/>
      <c r="E29" s="43"/>
      <c r="F29" s="43"/>
      <c r="G29" s="43"/>
      <c r="H29" s="43"/>
      <c r="I29" s="43"/>
      <c r="J29" s="45"/>
      <c r="K29" s="45"/>
      <c r="L29" s="45"/>
      <c r="M29" s="45"/>
      <c r="N29" s="45"/>
      <c r="O29" s="45"/>
      <c r="P29" s="45"/>
      <c r="Q29" s="45"/>
      <c r="R29" s="45"/>
      <c r="S29" s="45"/>
      <c r="T29" s="45"/>
      <c r="U29" s="45"/>
      <c r="V29" s="45"/>
      <c r="W29" s="45"/>
      <c r="X29" s="45"/>
    </row>
    <row r="30" spans="2:24">
      <c r="B30" s="43"/>
      <c r="C30" s="43"/>
      <c r="D30" s="45"/>
      <c r="E30" s="43"/>
      <c r="F30" s="43"/>
      <c r="G30" s="43"/>
      <c r="H30" s="43"/>
      <c r="I30" s="43"/>
      <c r="J30" s="45"/>
      <c r="K30" s="45"/>
      <c r="L30" s="45"/>
      <c r="M30" s="45"/>
      <c r="N30" s="45"/>
      <c r="O30" s="45"/>
      <c r="P30" s="45"/>
      <c r="Q30" s="45"/>
      <c r="R30" s="45"/>
      <c r="S30" s="45"/>
      <c r="T30" s="45"/>
      <c r="U30" s="45"/>
      <c r="V30" s="45"/>
      <c r="W30" s="45"/>
      <c r="X30" s="45"/>
    </row>
    <row r="31" spans="2:24">
      <c r="B31" s="43"/>
      <c r="C31" s="43"/>
      <c r="D31" s="43"/>
      <c r="E31" s="43"/>
      <c r="F31" s="43"/>
      <c r="G31" s="43"/>
      <c r="H31" s="43"/>
      <c r="I31" s="43"/>
      <c r="J31" s="43"/>
      <c r="K31" s="43"/>
      <c r="L31" s="43"/>
      <c r="M31" s="43"/>
      <c r="N31" s="43"/>
      <c r="O31" s="43"/>
      <c r="P31" s="43"/>
      <c r="Q31" s="43"/>
      <c r="R31" s="43"/>
      <c r="S31" s="43"/>
      <c r="T31" s="43"/>
      <c r="U31" s="43"/>
      <c r="V31" s="43"/>
      <c r="W31" s="43"/>
      <c r="X31" s="43"/>
    </row>
    <row r="32" spans="2:24">
      <c r="B32" s="61"/>
      <c r="C32" s="43"/>
      <c r="D32" s="43"/>
      <c r="E32" s="43"/>
      <c r="F32" s="43"/>
      <c r="G32" s="43"/>
      <c r="H32" s="43"/>
      <c r="I32" s="43"/>
      <c r="J32" s="43"/>
      <c r="K32" s="43"/>
      <c r="L32" s="43"/>
      <c r="M32" s="43"/>
      <c r="N32" s="43"/>
      <c r="O32" s="43"/>
      <c r="P32" s="43"/>
      <c r="Q32" s="43"/>
      <c r="R32" s="43"/>
      <c r="S32" s="43"/>
      <c r="T32" s="43"/>
      <c r="U32" s="43"/>
      <c r="V32" s="43"/>
      <c r="W32" s="43"/>
      <c r="X32" s="43"/>
    </row>
    <row r="33" spans="2:24">
      <c r="B33" s="43"/>
      <c r="C33" s="43"/>
      <c r="D33" s="43"/>
      <c r="E33" s="43"/>
      <c r="F33" s="43"/>
      <c r="G33" s="43"/>
      <c r="H33" s="43"/>
      <c r="I33" s="43"/>
      <c r="J33" s="43"/>
      <c r="K33" s="43"/>
      <c r="L33" s="43"/>
      <c r="M33" s="43"/>
      <c r="N33" s="43"/>
      <c r="O33" s="43"/>
      <c r="P33" s="43"/>
      <c r="Q33" s="43"/>
      <c r="R33" s="43"/>
      <c r="S33" s="43"/>
      <c r="T33" s="43"/>
      <c r="U33" s="43"/>
      <c r="V33" s="43"/>
      <c r="W33" s="43"/>
      <c r="X33" s="43"/>
    </row>
    <row r="34" spans="2:24">
      <c r="B34" s="43"/>
      <c r="C34" s="61"/>
      <c r="D34" s="61"/>
      <c r="E34" s="43"/>
      <c r="F34" s="43"/>
      <c r="G34" s="43"/>
      <c r="H34" s="61"/>
      <c r="I34" s="43"/>
      <c r="J34" s="61"/>
      <c r="K34" s="61"/>
      <c r="L34" s="61"/>
      <c r="M34" s="61"/>
      <c r="N34" s="61"/>
      <c r="O34" s="61"/>
      <c r="P34" s="61"/>
      <c r="Q34" s="61"/>
      <c r="R34" s="61"/>
      <c r="S34" s="61"/>
      <c r="T34" s="61"/>
      <c r="U34" s="61"/>
      <c r="V34" s="61"/>
      <c r="W34" s="61"/>
      <c r="X34" s="61"/>
    </row>
    <row r="35" spans="2:24">
      <c r="B35" s="43"/>
      <c r="C35" s="43"/>
      <c r="D35" s="45"/>
      <c r="E35" s="43"/>
      <c r="F35" s="43"/>
      <c r="G35" s="43"/>
      <c r="H35" s="43"/>
      <c r="I35" s="43"/>
      <c r="J35" s="45"/>
      <c r="K35" s="45"/>
      <c r="L35" s="45"/>
      <c r="M35" s="45"/>
      <c r="N35" s="45"/>
      <c r="O35" s="45"/>
      <c r="P35" s="45"/>
      <c r="Q35" s="45"/>
      <c r="R35" s="45"/>
      <c r="S35" s="45"/>
      <c r="T35" s="45"/>
      <c r="U35" s="45"/>
      <c r="V35" s="45"/>
      <c r="W35" s="45"/>
      <c r="X35" s="45"/>
    </row>
    <row r="36" spans="2:24">
      <c r="B36" s="43"/>
      <c r="C36" s="43"/>
      <c r="D36" s="45"/>
      <c r="E36" s="43"/>
      <c r="F36" s="43"/>
      <c r="G36" s="43"/>
      <c r="H36" s="43"/>
      <c r="I36" s="43"/>
      <c r="J36" s="45"/>
      <c r="K36" s="45"/>
      <c r="L36" s="45"/>
      <c r="M36" s="45"/>
      <c r="N36" s="45"/>
      <c r="O36" s="45"/>
      <c r="P36" s="45"/>
      <c r="Q36" s="45"/>
      <c r="R36" s="45"/>
      <c r="S36" s="45"/>
      <c r="T36" s="45"/>
      <c r="U36" s="45"/>
      <c r="V36" s="45"/>
      <c r="W36" s="45"/>
      <c r="X36" s="45"/>
    </row>
    <row r="37" spans="2:24">
      <c r="B37" s="43"/>
      <c r="C37" s="43"/>
      <c r="D37" s="45"/>
      <c r="E37" s="43"/>
      <c r="F37" s="43"/>
      <c r="G37" s="43"/>
      <c r="H37" s="43"/>
      <c r="I37" s="43"/>
      <c r="J37" s="45"/>
      <c r="K37" s="45"/>
      <c r="L37" s="45"/>
      <c r="M37" s="45"/>
      <c r="N37" s="45"/>
      <c r="O37" s="45"/>
      <c r="P37" s="45"/>
      <c r="Q37" s="45"/>
      <c r="R37" s="45"/>
      <c r="S37" s="45"/>
      <c r="T37" s="45"/>
      <c r="U37" s="45"/>
      <c r="V37" s="45"/>
      <c r="W37" s="45"/>
      <c r="X37" s="45"/>
    </row>
    <row r="38" spans="2:24">
      <c r="B38" s="43"/>
      <c r="C38" s="43"/>
      <c r="D38" s="45"/>
      <c r="E38" s="43"/>
      <c r="F38" s="43"/>
      <c r="G38" s="43"/>
      <c r="H38" s="43"/>
      <c r="I38" s="43"/>
      <c r="J38" s="45"/>
      <c r="K38" s="45"/>
      <c r="L38" s="45"/>
      <c r="M38" s="45"/>
      <c r="N38" s="45"/>
      <c r="O38" s="45"/>
      <c r="P38" s="45"/>
      <c r="Q38" s="45"/>
      <c r="R38" s="45"/>
      <c r="S38" s="45"/>
      <c r="T38" s="45"/>
      <c r="U38" s="45"/>
      <c r="V38" s="45"/>
      <c r="W38" s="45"/>
      <c r="X38" s="45"/>
    </row>
  </sheetData>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94981-F937-448D-8B03-81396CCFABDD}">
  <sheetPr codeName="Sheet38"/>
  <dimension ref="B3:J17"/>
  <sheetViews>
    <sheetView workbookViewId="0"/>
  </sheetViews>
  <sheetFormatPr defaultRowHeight="14"/>
  <cols>
    <col min="2" max="2" width="14.75" customWidth="1"/>
    <col min="4" max="4" width="12.75" bestFit="1" customWidth="1"/>
    <col min="6" max="6" width="15.75" bestFit="1" customWidth="1"/>
    <col min="7" max="7" width="12.75" bestFit="1" customWidth="1"/>
  </cols>
  <sheetData>
    <row r="3" spans="2:10">
      <c r="B3" s="96" t="s">
        <v>4</v>
      </c>
      <c r="C3" s="43" t="s">
        <v>475</v>
      </c>
      <c r="D3" s="43"/>
      <c r="E3" s="43"/>
      <c r="F3" s="43"/>
      <c r="G3" s="43"/>
      <c r="H3" s="43"/>
      <c r="I3" s="43"/>
      <c r="J3" s="43"/>
    </row>
    <row r="4" spans="2:10">
      <c r="B4" s="96" t="s">
        <v>341</v>
      </c>
      <c r="C4" s="106" t="s">
        <v>387</v>
      </c>
      <c r="D4" s="43"/>
      <c r="E4" s="43"/>
      <c r="F4" s="43"/>
      <c r="G4" s="43"/>
      <c r="H4" s="43"/>
      <c r="I4" s="43"/>
      <c r="J4" s="43"/>
    </row>
    <row r="5" spans="2:10">
      <c r="B5" s="96" t="s">
        <v>8</v>
      </c>
      <c r="C5" s="62" t="s">
        <v>196</v>
      </c>
      <c r="D5" s="43"/>
      <c r="E5" s="43"/>
      <c r="F5" s="43"/>
      <c r="G5" s="43"/>
      <c r="H5" s="43"/>
      <c r="I5" s="43"/>
      <c r="J5" s="43"/>
    </row>
    <row r="6" spans="2:10">
      <c r="B6" s="43"/>
      <c r="C6" s="106"/>
      <c r="D6" s="43"/>
      <c r="E6" s="43"/>
      <c r="F6" s="43"/>
      <c r="G6" s="43"/>
      <c r="H6" s="43"/>
      <c r="I6" s="43"/>
      <c r="J6" s="43"/>
    </row>
    <row r="7" spans="2:10">
      <c r="B7" s="168" t="s">
        <v>10</v>
      </c>
      <c r="C7" s="106"/>
      <c r="D7" s="43"/>
      <c r="E7" s="43"/>
      <c r="F7" s="43"/>
      <c r="G7" s="43"/>
      <c r="H7" s="43"/>
      <c r="I7" s="43"/>
      <c r="J7" s="43"/>
    </row>
    <row r="8" spans="2:10">
      <c r="B8" s="43"/>
      <c r="C8" s="106"/>
      <c r="D8" s="43"/>
      <c r="E8" s="43"/>
      <c r="F8" s="43"/>
      <c r="G8" s="43"/>
      <c r="H8" s="43"/>
      <c r="I8" s="43"/>
      <c r="J8" s="43"/>
    </row>
    <row r="9" spans="2:10">
      <c r="B9" s="44" t="s">
        <v>343</v>
      </c>
      <c r="C9" s="43"/>
      <c r="D9" s="43"/>
      <c r="E9" s="43"/>
      <c r="F9" s="43" t="s">
        <v>388</v>
      </c>
      <c r="G9" s="43"/>
      <c r="H9" s="43"/>
      <c r="I9" s="43" t="s">
        <v>389</v>
      </c>
      <c r="J9" s="43"/>
    </row>
    <row r="10" spans="2:10">
      <c r="B10" s="43"/>
      <c r="C10" s="43"/>
      <c r="D10" s="43"/>
      <c r="E10" s="43"/>
      <c r="F10" s="43"/>
      <c r="G10" s="43"/>
      <c r="H10" s="43"/>
      <c r="I10" s="43"/>
      <c r="J10" s="43"/>
    </row>
    <row r="11" spans="2:10">
      <c r="B11" s="43"/>
      <c r="C11" s="44" t="s">
        <v>11</v>
      </c>
      <c r="D11" s="44">
        <v>2030</v>
      </c>
      <c r="E11" s="43"/>
      <c r="F11" s="44" t="s">
        <v>33</v>
      </c>
      <c r="G11" s="44" t="s">
        <v>32</v>
      </c>
      <c r="H11" s="43"/>
      <c r="I11" s="44" t="s">
        <v>33</v>
      </c>
      <c r="J11" s="44" t="s">
        <v>32</v>
      </c>
    </row>
    <row r="12" spans="2:10">
      <c r="B12" s="43"/>
      <c r="C12" s="43" t="s">
        <v>49</v>
      </c>
      <c r="D12" s="107">
        <v>0</v>
      </c>
      <c r="E12" s="43"/>
      <c r="F12" s="179">
        <v>0</v>
      </c>
      <c r="G12" s="179">
        <v>0</v>
      </c>
      <c r="H12" s="43"/>
      <c r="I12" s="181">
        <v>0.97</v>
      </c>
      <c r="J12" s="180">
        <v>-1</v>
      </c>
    </row>
    <row r="13" spans="2:10">
      <c r="B13" s="43"/>
      <c r="C13" s="43" t="s">
        <v>19</v>
      </c>
      <c r="D13" s="107">
        <v>3443461.2</v>
      </c>
      <c r="E13" s="43"/>
      <c r="F13" s="179">
        <v>0</v>
      </c>
      <c r="G13" s="179">
        <v>-3443461.2</v>
      </c>
      <c r="H13" s="43"/>
      <c r="I13" s="181">
        <v>0.97</v>
      </c>
      <c r="J13" s="180">
        <v>-1</v>
      </c>
    </row>
    <row r="14" spans="2:10">
      <c r="B14" s="43"/>
      <c r="C14" s="43" t="s">
        <v>48</v>
      </c>
      <c r="D14" s="107">
        <v>8664469.4092999995</v>
      </c>
      <c r="E14" s="43"/>
      <c r="F14" s="179">
        <v>1835258.69</v>
      </c>
      <c r="G14" s="179">
        <v>-6884268.4800000004</v>
      </c>
      <c r="H14" s="43"/>
      <c r="I14" s="181">
        <v>0.97</v>
      </c>
      <c r="J14" s="180">
        <v>-1</v>
      </c>
    </row>
    <row r="16" spans="2:10">
      <c r="D16" s="108"/>
    </row>
    <row r="17" spans="4:4">
      <c r="D17" s="108"/>
    </row>
  </sheetData>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D4223-FD66-4CA5-A647-023F1554E12E}">
  <sheetPr codeName="Sheet39"/>
  <dimension ref="B2:H30"/>
  <sheetViews>
    <sheetView topLeftCell="A19" workbookViewId="0">
      <selection activeCell="G23" sqref="G23"/>
    </sheetView>
  </sheetViews>
  <sheetFormatPr defaultRowHeight="14"/>
  <cols>
    <col min="2" max="2" width="37.83203125" customWidth="1"/>
    <col min="3" max="5" width="18" customWidth="1"/>
    <col min="6" max="6" width="15" bestFit="1" customWidth="1"/>
    <col min="7" max="7" width="18.75" bestFit="1" customWidth="1"/>
    <col min="8" max="8" width="11.25" bestFit="1" customWidth="1"/>
    <col min="9" max="9" width="15.75" bestFit="1" customWidth="1"/>
    <col min="10" max="10" width="8.75" bestFit="1" customWidth="1"/>
    <col min="11" max="11" width="12.25" bestFit="1" customWidth="1"/>
    <col min="12" max="12" width="12.75" bestFit="1" customWidth="1"/>
    <col min="13" max="13" width="11.75" bestFit="1" customWidth="1"/>
    <col min="14" max="14" width="12.25" bestFit="1" customWidth="1"/>
  </cols>
  <sheetData>
    <row r="2" spans="2:8">
      <c r="B2" s="42" t="s">
        <v>194</v>
      </c>
      <c r="C2" t="s">
        <v>312</v>
      </c>
    </row>
    <row r="3" spans="2:8">
      <c r="B3" s="42" t="s">
        <v>138</v>
      </c>
      <c r="C3" t="s">
        <v>81</v>
      </c>
    </row>
    <row r="4" spans="2:8">
      <c r="B4" s="42" t="s">
        <v>8</v>
      </c>
      <c r="C4" t="s">
        <v>196</v>
      </c>
    </row>
    <row r="6" spans="2:8" s="19" customFormat="1">
      <c r="B6" s="20" t="s">
        <v>314</v>
      </c>
    </row>
    <row r="7" spans="2:8">
      <c r="B7" s="10"/>
    </row>
    <row r="8" spans="2:8">
      <c r="B8" s="165" t="s">
        <v>10</v>
      </c>
    </row>
    <row r="9" spans="2:8" ht="14.5">
      <c r="B9" s="10"/>
      <c r="C9" s="87" t="s">
        <v>70</v>
      </c>
      <c r="D9" s="87" t="s">
        <v>316</v>
      </c>
      <c r="G9" s="18"/>
      <c r="H9" s="130"/>
    </row>
    <row r="10" spans="2:8" ht="14.5">
      <c r="B10" s="93" t="s">
        <v>49</v>
      </c>
      <c r="C10" s="49">
        <v>2030</v>
      </c>
      <c r="D10" s="123">
        <v>2258.75</v>
      </c>
      <c r="F10" s="18"/>
      <c r="H10" s="91"/>
    </row>
    <row r="11" spans="2:8">
      <c r="B11" s="94"/>
    </row>
    <row r="12" spans="2:8" ht="14.5">
      <c r="B12" s="95" t="s">
        <v>317</v>
      </c>
      <c r="C12" s="87" t="s">
        <v>70</v>
      </c>
      <c r="D12" s="88" t="s">
        <v>316</v>
      </c>
      <c r="F12" s="18"/>
      <c r="H12" s="130"/>
    </row>
    <row r="13" spans="2:8" ht="14.5">
      <c r="B13" s="47" t="s">
        <v>19</v>
      </c>
      <c r="C13" s="89">
        <v>2030</v>
      </c>
      <c r="D13" s="123">
        <v>2054.11</v>
      </c>
      <c r="H13" s="90"/>
    </row>
    <row r="14" spans="2:8" ht="14.5">
      <c r="B14" s="47"/>
      <c r="C14" s="89"/>
      <c r="D14" s="89"/>
      <c r="H14" s="89"/>
    </row>
    <row r="15" spans="2:8" ht="14.5">
      <c r="B15" s="95" t="s">
        <v>318</v>
      </c>
      <c r="C15" s="87" t="s">
        <v>70</v>
      </c>
      <c r="D15" s="88" t="s">
        <v>316</v>
      </c>
      <c r="F15" s="18"/>
      <c r="H15" s="130"/>
    </row>
    <row r="16" spans="2:8" ht="14.5">
      <c r="B16" s="47" t="s">
        <v>48</v>
      </c>
      <c r="C16" s="89">
        <v>2030</v>
      </c>
      <c r="D16" s="123">
        <v>1694.52</v>
      </c>
      <c r="H16" s="90"/>
    </row>
    <row r="17" spans="2:4">
      <c r="B17" s="10"/>
    </row>
    <row r="18" spans="2:4">
      <c r="B18" s="62" t="s">
        <v>492</v>
      </c>
    </row>
    <row r="19" spans="2:4">
      <c r="B19" s="10"/>
    </row>
    <row r="20" spans="2:4">
      <c r="B20" s="10"/>
    </row>
    <row r="21" spans="2:4" s="19" customFormat="1">
      <c r="B21" s="20" t="s">
        <v>335</v>
      </c>
    </row>
    <row r="23" spans="2:4">
      <c r="C23" s="18"/>
    </row>
    <row r="26" spans="2:4" ht="14.5">
      <c r="B26" s="48"/>
      <c r="C26" s="48"/>
    </row>
    <row r="27" spans="2:4">
      <c r="B27" s="5" t="s">
        <v>478</v>
      </c>
      <c r="C27" s="5" t="s">
        <v>337</v>
      </c>
      <c r="D27" s="5">
        <v>2030</v>
      </c>
    </row>
    <row r="28" spans="2:4" ht="14.5">
      <c r="B28" s="49" t="s">
        <v>338</v>
      </c>
      <c r="C28" s="48"/>
      <c r="D28" s="1">
        <v>268</v>
      </c>
    </row>
    <row r="29" spans="2:4" ht="14.5">
      <c r="B29" s="49" t="s">
        <v>339</v>
      </c>
      <c r="C29" s="48"/>
      <c r="D29" s="1">
        <v>83</v>
      </c>
    </row>
    <row r="30" spans="2:4" ht="14.5">
      <c r="B30" s="48"/>
      <c r="C30" s="48"/>
      <c r="D30" s="92"/>
    </row>
  </sheetData>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5DE92-823C-4622-9FA3-EF874E8EC3C9}">
  <sheetPr codeName="Sheet40"/>
  <dimension ref="B3:F32"/>
  <sheetViews>
    <sheetView workbookViewId="0"/>
  </sheetViews>
  <sheetFormatPr defaultRowHeight="14"/>
  <cols>
    <col min="2" max="2" width="14.25" bestFit="1" customWidth="1"/>
    <col min="4" max="5" width="10.25" bestFit="1" customWidth="1"/>
    <col min="6" max="6" width="12.75" bestFit="1" customWidth="1"/>
  </cols>
  <sheetData>
    <row r="3" spans="2:6">
      <c r="B3" s="42" t="s">
        <v>4</v>
      </c>
      <c r="C3" t="s">
        <v>340</v>
      </c>
    </row>
    <row r="4" spans="2:6">
      <c r="B4" s="42" t="s">
        <v>341</v>
      </c>
      <c r="C4" t="s">
        <v>342</v>
      </c>
    </row>
    <row r="5" spans="2:6">
      <c r="B5" s="42" t="s">
        <v>8</v>
      </c>
      <c r="C5" t="s">
        <v>481</v>
      </c>
    </row>
    <row r="7" spans="2:6">
      <c r="B7" s="165" t="s">
        <v>10</v>
      </c>
    </row>
    <row r="9" spans="2:6">
      <c r="B9" t="s">
        <v>343</v>
      </c>
      <c r="C9" t="s">
        <v>344</v>
      </c>
    </row>
    <row r="11" spans="2:6">
      <c r="C11" s="42" t="s">
        <v>11</v>
      </c>
      <c r="D11" s="42">
        <v>2030</v>
      </c>
      <c r="E11" s="42"/>
      <c r="F11" s="42" t="s">
        <v>345</v>
      </c>
    </row>
    <row r="13" spans="2:6">
      <c r="C13" t="s">
        <v>19</v>
      </c>
      <c r="F13" s="166">
        <v>1792.6966456028997</v>
      </c>
    </row>
    <row r="14" spans="2:6">
      <c r="C14" t="s">
        <v>48</v>
      </c>
      <c r="F14" s="166">
        <v>2148.9070281678023</v>
      </c>
    </row>
    <row r="15" spans="2:6">
      <c r="C15" t="s">
        <v>49</v>
      </c>
      <c r="F15" s="166">
        <v>2750.9635943253056</v>
      </c>
    </row>
    <row r="18" spans="2:6">
      <c r="B18" t="s">
        <v>343</v>
      </c>
      <c r="C18" t="s">
        <v>346</v>
      </c>
    </row>
    <row r="20" spans="2:6">
      <c r="C20" s="42" t="s">
        <v>11</v>
      </c>
      <c r="D20" s="42">
        <v>2030</v>
      </c>
      <c r="E20" s="42"/>
      <c r="F20" s="42" t="s">
        <v>345</v>
      </c>
    </row>
    <row r="22" spans="2:6">
      <c r="C22" t="s">
        <v>19</v>
      </c>
      <c r="F22" s="166">
        <v>-2616.0794666804977</v>
      </c>
    </row>
    <row r="23" spans="2:6">
      <c r="C23" t="s">
        <v>48</v>
      </c>
      <c r="F23" s="166">
        <v>-2849.2718476925961</v>
      </c>
    </row>
    <row r="24" spans="2:6">
      <c r="C24" t="s">
        <v>49</v>
      </c>
      <c r="F24" s="166">
        <v>-2303.2775187288021</v>
      </c>
    </row>
    <row r="27" spans="2:6">
      <c r="B27" t="s">
        <v>347</v>
      </c>
    </row>
    <row r="28" spans="2:6">
      <c r="D28" t="s">
        <v>348</v>
      </c>
      <c r="E28" t="s">
        <v>349</v>
      </c>
    </row>
    <row r="29" spans="2:6">
      <c r="D29" s="13"/>
      <c r="E29" s="13"/>
    </row>
    <row r="30" spans="2:6">
      <c r="C30" t="s">
        <v>19</v>
      </c>
      <c r="D30" s="139">
        <f>F13+F22</f>
        <v>-823.38282107759801</v>
      </c>
      <c r="E30" s="139">
        <f>D30/'XR&amp;Inflation'!$C$24</f>
        <v>-701.94613902608523</v>
      </c>
    </row>
    <row r="31" spans="2:6">
      <c r="C31" t="s">
        <v>48</v>
      </c>
      <c r="D31" s="139">
        <f>F14+F23</f>
        <v>-700.3648195247938</v>
      </c>
      <c r="E31" s="139">
        <f>D31/'XR&amp;Inflation'!$C$24</f>
        <v>-597.07145739539112</v>
      </c>
    </row>
    <row r="32" spans="2:6">
      <c r="C32" t="s">
        <v>49</v>
      </c>
      <c r="D32" s="139">
        <f>F15+F24</f>
        <v>447.68607559650354</v>
      </c>
      <c r="E32" s="139">
        <f>D32/'XR&amp;Inflation'!$C$24</f>
        <v>381.65905847954264</v>
      </c>
    </row>
  </sheetData>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E8ABD-D6F4-4A9F-82DA-2780D89CA908}">
  <sheetPr codeName="Sheet41"/>
  <dimension ref="C3:AM104"/>
  <sheetViews>
    <sheetView topLeftCell="P31" workbookViewId="0"/>
  </sheetViews>
  <sheetFormatPr defaultRowHeight="14"/>
  <cols>
    <col min="1" max="1" width="1.75" customWidth="1"/>
    <col min="3" max="3" width="28.25" bestFit="1" customWidth="1"/>
    <col min="4" max="4" width="30.25" bestFit="1" customWidth="1"/>
    <col min="5" max="8" width="10.25" customWidth="1"/>
    <col min="9" max="13" width="16.25" customWidth="1"/>
    <col min="14" max="14" width="19.25" customWidth="1"/>
    <col min="15" max="15" width="18.25" bestFit="1" customWidth="1"/>
    <col min="16" max="22" width="10.25" customWidth="1"/>
    <col min="23" max="26" width="10.75" customWidth="1"/>
    <col min="27" max="30" width="11.75" customWidth="1"/>
    <col min="31" max="31" width="18.25" bestFit="1" customWidth="1"/>
    <col min="32" max="34" width="12" customWidth="1"/>
    <col min="35" max="38" width="11.75" customWidth="1"/>
    <col min="39" max="42" width="10.75" customWidth="1"/>
  </cols>
  <sheetData>
    <row r="3" spans="3:36">
      <c r="C3" t="s">
        <v>391</v>
      </c>
      <c r="D3" t="s">
        <v>392</v>
      </c>
    </row>
    <row r="5" spans="3:36" ht="10.4" customHeight="1"/>
    <row r="6" spans="3:36" ht="10.4" customHeight="1"/>
    <row r="7" spans="3:36" ht="14.9" customHeight="1">
      <c r="C7" t="s">
        <v>393</v>
      </c>
      <c r="E7" s="103">
        <v>45292</v>
      </c>
      <c r="N7" s="119"/>
    </row>
    <row r="8" spans="3:36" ht="14.9" customHeight="1">
      <c r="L8" s="119"/>
      <c r="N8" s="108"/>
      <c r="O8" s="119"/>
    </row>
    <row r="10" spans="3:36">
      <c r="C10" s="24" t="s">
        <v>13</v>
      </c>
      <c r="D10" s="24"/>
      <c r="E10" s="54" t="s">
        <v>394</v>
      </c>
      <c r="F10" s="51"/>
      <c r="G10" s="51"/>
      <c r="H10" s="54" t="s">
        <v>395</v>
      </c>
      <c r="I10" s="51"/>
      <c r="J10" s="51"/>
      <c r="K10" s="51"/>
      <c r="L10" s="51"/>
      <c r="M10" s="51"/>
      <c r="N10" s="51"/>
      <c r="O10" s="54" t="s">
        <v>396</v>
      </c>
      <c r="P10" s="51"/>
      <c r="Q10" s="51"/>
      <c r="R10" s="54" t="s">
        <v>397</v>
      </c>
      <c r="S10" s="51"/>
      <c r="T10" s="51"/>
      <c r="U10" s="51"/>
      <c r="V10" s="51"/>
      <c r="W10" s="51"/>
      <c r="X10" s="51"/>
      <c r="Y10" s="51"/>
      <c r="Z10" s="51"/>
      <c r="AA10" s="51"/>
      <c r="AB10" s="51"/>
      <c r="AC10" s="51"/>
      <c r="AD10" s="51"/>
      <c r="AE10" s="51"/>
      <c r="AF10" s="51"/>
      <c r="AG10" s="51"/>
      <c r="AH10" s="51"/>
      <c r="AI10" s="51"/>
      <c r="AJ10" s="51"/>
    </row>
    <row r="11" spans="3:36">
      <c r="C11" s="24" t="s">
        <v>59</v>
      </c>
      <c r="D11" s="24"/>
      <c r="E11" s="55" t="s">
        <v>384</v>
      </c>
      <c r="F11" s="50"/>
      <c r="G11" s="50"/>
      <c r="H11" s="55" t="s">
        <v>239</v>
      </c>
      <c r="I11" s="50" t="s">
        <v>239</v>
      </c>
      <c r="J11" s="50" t="s">
        <v>239</v>
      </c>
      <c r="K11" s="50" t="s">
        <v>240</v>
      </c>
      <c r="L11" s="50" t="s">
        <v>242</v>
      </c>
      <c r="M11" s="50" t="s">
        <v>234</v>
      </c>
      <c r="N11" s="50" t="s">
        <v>56</v>
      </c>
      <c r="O11" s="55" t="s">
        <v>22</v>
      </c>
      <c r="P11" s="50"/>
      <c r="Q11" s="50"/>
      <c r="R11" s="55" t="s">
        <v>398</v>
      </c>
      <c r="S11" s="50"/>
      <c r="T11" s="50"/>
      <c r="U11" s="86" t="s">
        <v>400</v>
      </c>
      <c r="V11" s="50"/>
      <c r="W11" s="75"/>
      <c r="X11" s="86" t="s">
        <v>401</v>
      </c>
      <c r="Y11" s="50"/>
      <c r="Z11" s="75"/>
      <c r="AA11" s="86" t="s">
        <v>402</v>
      </c>
      <c r="AB11" s="86" t="s">
        <v>403</v>
      </c>
      <c r="AC11" s="50"/>
      <c r="AD11" s="75"/>
      <c r="AE11" s="86" t="s">
        <v>404</v>
      </c>
      <c r="AF11" s="50"/>
      <c r="AG11" s="75"/>
      <c r="AH11" s="86" t="s">
        <v>405</v>
      </c>
      <c r="AI11" s="50"/>
      <c r="AJ11" s="50"/>
    </row>
    <row r="12" spans="3:36">
      <c r="C12" s="24" t="s">
        <v>89</v>
      </c>
      <c r="D12" s="24"/>
      <c r="E12" s="56" t="s">
        <v>19</v>
      </c>
      <c r="F12" s="52" t="s">
        <v>48</v>
      </c>
      <c r="G12" s="52" t="s">
        <v>49</v>
      </c>
      <c r="H12" s="56" t="s">
        <v>268</v>
      </c>
      <c r="I12" s="52" t="s">
        <v>60</v>
      </c>
      <c r="J12" s="52" t="s">
        <v>61</v>
      </c>
      <c r="K12" s="52" t="s">
        <v>406</v>
      </c>
      <c r="L12" s="52" t="s">
        <v>406</v>
      </c>
      <c r="M12" s="52" t="s">
        <v>406</v>
      </c>
      <c r="N12" s="52" t="s">
        <v>406</v>
      </c>
      <c r="O12" s="56" t="s">
        <v>19</v>
      </c>
      <c r="P12" s="52" t="s">
        <v>48</v>
      </c>
      <c r="Q12" s="52" t="s">
        <v>49</v>
      </c>
      <c r="R12" s="56" t="s">
        <v>19</v>
      </c>
      <c r="S12" s="52" t="s">
        <v>48</v>
      </c>
      <c r="T12" s="52" t="s">
        <v>49</v>
      </c>
      <c r="U12" s="81" t="s">
        <v>19</v>
      </c>
      <c r="V12" s="52" t="s">
        <v>48</v>
      </c>
      <c r="W12" s="76" t="s">
        <v>49</v>
      </c>
      <c r="X12" s="81" t="s">
        <v>19</v>
      </c>
      <c r="Y12" s="52" t="s">
        <v>48</v>
      </c>
      <c r="Z12" s="76" t="s">
        <v>49</v>
      </c>
      <c r="AA12" s="81" t="s">
        <v>490</v>
      </c>
      <c r="AB12" s="81" t="s">
        <v>19</v>
      </c>
      <c r="AC12" s="52" t="s">
        <v>48</v>
      </c>
      <c r="AD12" s="76" t="s">
        <v>49</v>
      </c>
      <c r="AE12" s="81" t="s">
        <v>19</v>
      </c>
      <c r="AF12" s="52" t="s">
        <v>48</v>
      </c>
      <c r="AG12" s="76" t="s">
        <v>49</v>
      </c>
      <c r="AH12" s="81" t="s">
        <v>19</v>
      </c>
      <c r="AI12" s="52" t="s">
        <v>48</v>
      </c>
      <c r="AJ12" s="52" t="s">
        <v>479</v>
      </c>
    </row>
    <row r="13" spans="3:36">
      <c r="C13" s="24" t="s">
        <v>138</v>
      </c>
      <c r="D13" s="24"/>
      <c r="E13" s="57" t="s">
        <v>175</v>
      </c>
      <c r="F13" s="53" t="s">
        <v>175</v>
      </c>
      <c r="G13" s="53" t="s">
        <v>175</v>
      </c>
      <c r="H13" s="57" t="s">
        <v>407</v>
      </c>
      <c r="I13" s="53" t="s">
        <v>407</v>
      </c>
      <c r="J13" s="53" t="s">
        <v>407</v>
      </c>
      <c r="K13" s="53" t="s">
        <v>408</v>
      </c>
      <c r="L13" s="53" t="s">
        <v>351</v>
      </c>
      <c r="M13" s="53" t="s">
        <v>409</v>
      </c>
      <c r="N13" s="53" t="s">
        <v>57</v>
      </c>
      <c r="O13" s="57" t="s">
        <v>7</v>
      </c>
      <c r="P13" s="53" t="s">
        <v>7</v>
      </c>
      <c r="Q13" s="53" t="s">
        <v>7</v>
      </c>
      <c r="R13" s="57" t="s">
        <v>81</v>
      </c>
      <c r="S13" s="53" t="s">
        <v>81</v>
      </c>
      <c r="T13" s="53" t="s">
        <v>81</v>
      </c>
      <c r="U13" s="82" t="s">
        <v>81</v>
      </c>
      <c r="V13" s="53" t="s">
        <v>81</v>
      </c>
      <c r="W13" s="77" t="s">
        <v>81</v>
      </c>
      <c r="X13" s="82" t="s">
        <v>81</v>
      </c>
      <c r="Y13" s="53" t="s">
        <v>81</v>
      </c>
      <c r="Z13" s="77" t="s">
        <v>81</v>
      </c>
      <c r="AA13" s="82" t="s">
        <v>81</v>
      </c>
      <c r="AB13" s="82" t="s">
        <v>81</v>
      </c>
      <c r="AC13" s="53" t="s">
        <v>81</v>
      </c>
      <c r="AD13" s="77" t="s">
        <v>81</v>
      </c>
      <c r="AE13" s="82" t="s">
        <v>81</v>
      </c>
      <c r="AF13" s="53" t="s">
        <v>81</v>
      </c>
      <c r="AG13" s="77" t="s">
        <v>81</v>
      </c>
      <c r="AH13" s="82" t="s">
        <v>81</v>
      </c>
      <c r="AI13" s="53" t="s">
        <v>81</v>
      </c>
      <c r="AJ13" s="53" t="s">
        <v>81</v>
      </c>
    </row>
    <row r="14" spans="3:36">
      <c r="C14" s="72" t="s">
        <v>214</v>
      </c>
      <c r="D14" s="72" t="s">
        <v>13</v>
      </c>
      <c r="E14" s="73"/>
      <c r="F14" s="74"/>
      <c r="G14" s="74"/>
      <c r="H14" s="71"/>
      <c r="I14" s="32"/>
      <c r="J14" s="32"/>
      <c r="K14" s="32"/>
      <c r="L14" s="32"/>
      <c r="M14" s="32"/>
      <c r="N14" s="32"/>
      <c r="O14" s="71"/>
      <c r="P14" s="32"/>
      <c r="Q14" s="32"/>
      <c r="R14" s="71"/>
      <c r="S14" s="32"/>
      <c r="T14" s="32"/>
      <c r="U14" s="83"/>
      <c r="V14" s="74"/>
      <c r="W14" s="78"/>
      <c r="X14" s="83"/>
      <c r="Y14" s="74"/>
      <c r="Z14" s="78"/>
      <c r="AA14" s="74"/>
      <c r="AB14" s="74"/>
      <c r="AC14" s="74"/>
      <c r="AD14" s="74"/>
      <c r="AE14" s="83"/>
      <c r="AF14" s="74"/>
      <c r="AG14" s="78"/>
      <c r="AH14" s="83"/>
      <c r="AI14" s="74"/>
      <c r="AJ14" s="74"/>
    </row>
    <row r="15" spans="3:36">
      <c r="C15" t="s">
        <v>21</v>
      </c>
      <c r="D15" t="s">
        <v>410</v>
      </c>
      <c r="E15" s="59">
        <f>INDEX(DeployedCapacities!$D$73:$F$97, MATCH($C15, DeployedCapacities!$C$73:$C$97, 0), MATCH(E$12, DeployedCapacities!$D$71:$F$71, 0))</f>
        <v>0</v>
      </c>
      <c r="F15" s="46">
        <f>INDEX(DeployedCapacities!$D$73:$F$97, MATCH($C15, DeployedCapacities!$C$73:$C$97, 0), MATCH(F$12, DeployedCapacities!$D$71:$F$71, 0))</f>
        <v>0</v>
      </c>
      <c r="G15" s="46">
        <f>INDEX(DeployedCapacities!$D$73:$F$97, MATCH($C15, DeployedCapacities!$C$73:$C$97, 0), MATCH(G$12, DeployedCapacities!$D$71:$F$71, 0))</f>
        <v>0</v>
      </c>
      <c r="H15" s="59">
        <f>SUMIFS(TechAssumptions!$J$16:$J$90, TechAssumptions!$C$16:$C$90, $C15, TechAssumptions!$D$16:$D$90, H$11)*1000</f>
        <v>4114470.754249909</v>
      </c>
      <c r="I15" s="46">
        <f>SUMIFS(TechAssumptions!$K$16:$K$90, TechAssumptions!$C$16:$C$90, $C15, TechAssumptions!$D$16:$D$90, I$11)*1000</f>
        <v>4114470.754249909</v>
      </c>
      <c r="J15" s="46">
        <f>SUMIFS(TechAssumptions!$L$16:$L$90, TechAssumptions!$C$16:$C$90, $C15, TechAssumptions!$D$16:$D$90, J$11)*1000</f>
        <v>4114470.754249909</v>
      </c>
      <c r="K15" s="46">
        <f>(SUMIFS(TechAssumptions!$J$16:$J$90, TechAssumptions!$C$16:$C$90, $C15, TechAssumptions!$D$16:$D$90, K$11))*1000</f>
        <v>108144.77064220185</v>
      </c>
      <c r="L15" s="13">
        <f>SUMIFS(TechAssumptions!$J$16:$J$90, TechAssumptions!$C$16:$C$90, $C15, TechAssumptions!$D$16:$D$90, L$11)</f>
        <v>8.5926605504587155</v>
      </c>
      <c r="M15" s="13">
        <f>INDEX(TechAssumptions!$G$16:$G$90, MATCH(C15, TechAssumptions!$C$16:$C$90, 0))</f>
        <v>25</v>
      </c>
      <c r="N15" s="14">
        <f>INDEX(TechAssumptions!$H$16:$H$90, MATCH(C15, TechAssumptions!$C$16:$C$90, 0))</f>
        <v>7.9000000000000001E-2</v>
      </c>
      <c r="O15" s="58">
        <f>SUMIFS(DispatchVols_LG!$I:$I, DispatchVols_LG!$E:$E, $C15, DispatchVols_LG!$C:$C, O$12)</f>
        <v>10069.700000000001</v>
      </c>
      <c r="P15" s="13">
        <f>SUMIFS(DispatchVols_LG!$I:$I, DispatchVols_LG!$E:$E, $C15, DispatchVols_LG!$C:$C, P$12)</f>
        <v>8781.0499999999993</v>
      </c>
      <c r="Q15" s="13">
        <f>SUMIFS(DispatchVols_LG!$I:$I, DispatchVols_LG!$E:$E, $C15, DispatchVols_LG!$C:$C, Q$12)</f>
        <v>3770.79</v>
      </c>
      <c r="R15" s="58">
        <f t="shared" ref="R15:R39" si="0">(E15*$H15)/10^6</f>
        <v>0</v>
      </c>
      <c r="S15" s="13">
        <f t="shared" ref="S15:S39" si="1">(F15*$H15)/10^6</f>
        <v>0</v>
      </c>
      <c r="T15" s="13">
        <f t="shared" ref="T15:T39" si="2">(G15*$H15)/10^6</f>
        <v>0</v>
      </c>
      <c r="U15" s="84">
        <f t="shared" ref="U15:U39" si="3">(-PMT($N15,$M15,E15*$H15))/10^6</f>
        <v>0</v>
      </c>
      <c r="V15" s="46">
        <f t="shared" ref="V15:V39" si="4">(-PMT($N15,$M15,F15*$H15))/10^6</f>
        <v>0</v>
      </c>
      <c r="W15" s="79">
        <f t="shared" ref="W15:W39" si="5">(-PMT($N15,$M15,G15*$H15))/10^6</f>
        <v>0</v>
      </c>
      <c r="X15" s="84">
        <f>(($K15*E15)/10^6)</f>
        <v>0</v>
      </c>
      <c r="Y15" s="46">
        <f t="shared" ref="Y15:Y39" si="6">($K15*F15)/10^6</f>
        <v>0</v>
      </c>
      <c r="Z15" s="79">
        <f t="shared" ref="Z15:Z39" si="7">($K15*G15)/10^6</f>
        <v>0</v>
      </c>
      <c r="AA15" s="46">
        <f>($K15*INDEX(DeployedCapacities!$D$7:$D$31, MATCH($C15, DeployedCapacities!$C$7:$C$31, 0)))/10^6</f>
        <v>448.64182535229372</v>
      </c>
      <c r="AB15" s="46">
        <f t="shared" ref="AB15:AB39" si="8">X15+$AA15</f>
        <v>448.64182535229372</v>
      </c>
      <c r="AC15" s="46">
        <f t="shared" ref="AC15:AC39" si="9">Y15+$AA15</f>
        <v>448.64182535229372</v>
      </c>
      <c r="AD15" s="46">
        <f t="shared" ref="AD15:AD39" si="10">Z15+$AA15</f>
        <v>448.64182535229372</v>
      </c>
      <c r="AE15" s="84">
        <f t="shared" ref="AE15:AE39" si="11">(($L15*1000)*O15)/10^6</f>
        <v>86.525513944954128</v>
      </c>
      <c r="AF15" s="46">
        <f t="shared" ref="AF15:AF39" si="12">(($L15*1000)*P15)/10^6</f>
        <v>75.45258192660549</v>
      </c>
      <c r="AG15" s="79">
        <f t="shared" ref="AG15:AG39" si="13">(($L15*1000)*Q15)/10^6</f>
        <v>32.401118477064216</v>
      </c>
      <c r="AH15" s="84">
        <f t="shared" ref="AH15:AH39" si="14">U15+X15+$AA15+AE15</f>
        <v>535.16733929724785</v>
      </c>
      <c r="AI15" s="46">
        <f t="shared" ref="AI15:AI39" si="15">V15+Y15+$AA15+AF15</f>
        <v>524.09440727889921</v>
      </c>
      <c r="AJ15" s="46">
        <f t="shared" ref="AJ15:AJ39" si="16">W15+Z15+$AA15+AG15</f>
        <v>481.04294382935791</v>
      </c>
    </row>
    <row r="16" spans="3:36">
      <c r="C16" t="s">
        <v>24</v>
      </c>
      <c r="D16" t="s">
        <v>411</v>
      </c>
      <c r="E16" s="59">
        <f>INDEX(DeployedCapacities!$D$73:$F$97, MATCH($C16, DeployedCapacities!$C$73:$C$97, 0), MATCH(E$12, DeployedCapacities!$D$71:$F$71, 0))</f>
        <v>1670</v>
      </c>
      <c r="F16" s="46">
        <f>INDEX(DeployedCapacities!$D$73:$F$97, MATCH($C16, DeployedCapacities!$C$73:$C$97, 0), MATCH(F$12, DeployedCapacities!$D$71:$F$71, 0))</f>
        <v>1670</v>
      </c>
      <c r="G16" s="46">
        <f>INDEX(DeployedCapacities!$D$73:$F$97, MATCH($C16, DeployedCapacities!$C$73:$C$97, 0), MATCH(G$12, DeployedCapacities!$D$71:$F$71, 0))</f>
        <v>1670</v>
      </c>
      <c r="H16" s="59">
        <f>SUMIFS(TechAssumptions!$J$16:$J$90, TechAssumptions!$C$16:$C$90, $C16, TechAssumptions!$D$16:$D$90, H$11)*1000</f>
        <v>5870285.5831037639</v>
      </c>
      <c r="I16" s="46">
        <f>SUMIFS(TechAssumptions!$K$16:$K$90, TechAssumptions!$C$16:$C$90, $C16, TechAssumptions!$D$16:$D$90, I$11)*1000</f>
        <v>5870285.5831037639</v>
      </c>
      <c r="J16" s="46">
        <f>SUMIFS(TechAssumptions!$L$16:$L$90, TechAssumptions!$C$16:$C$90, $C16, TechAssumptions!$D$16:$D$90, J$11)*1000</f>
        <v>5870285.5831037639</v>
      </c>
      <c r="K16" s="46">
        <f>(SUMIFS(TechAssumptions!$J$16:$J$90, TechAssumptions!$C$16:$C$90, $C16, TechAssumptions!$D$16:$D$90, K$11))*1000</f>
        <v>98527.164489080169</v>
      </c>
      <c r="L16" s="13">
        <f>SUMIFS(TechAssumptions!$J$16:$J$90, TechAssumptions!$C$16:$C$90, $C16, TechAssumptions!$D$16:$D$90, L$11)</f>
        <v>6.7575757575757578</v>
      </c>
      <c r="M16" s="13">
        <f>INDEX(TechAssumptions!$G$16:$G$90, MATCH(C16, TechAssumptions!$C$16:$C$90, 0))</f>
        <v>60</v>
      </c>
      <c r="N16" s="14">
        <f>INDEX(TechAssumptions!$H$16:$H$90, MATCH(C16, TechAssumptions!$C$16:$C$90, 0))</f>
        <v>0.1</v>
      </c>
      <c r="O16" s="58">
        <f>SUMIFS(DispatchVols_LG!$I:$I, DispatchVols_LG!$E:$E, $C16, DispatchVols_LG!$C:$C, O$12)</f>
        <v>25890.2</v>
      </c>
      <c r="P16" s="13">
        <f>SUMIFS(DispatchVols_LG!$I:$I, DispatchVols_LG!$E:$E, $C16, DispatchVols_LG!$C:$C, P$12)</f>
        <v>30737.52</v>
      </c>
      <c r="Q16" s="13">
        <f>SUMIFS(DispatchVols_LG!$I:$I, DispatchVols_LG!$E:$E, $C16, DispatchVols_LG!$C:$C, Q$12)</f>
        <v>26653.87</v>
      </c>
      <c r="R16" s="58">
        <f t="shared" si="0"/>
        <v>9803.3769237832857</v>
      </c>
      <c r="S16" s="13">
        <f t="shared" si="1"/>
        <v>9803.3769237832857</v>
      </c>
      <c r="T16" s="13">
        <f t="shared" si="2"/>
        <v>9803.3769237832857</v>
      </c>
      <c r="U16" s="84">
        <f t="shared" si="3"/>
        <v>983.56799551580889</v>
      </c>
      <c r="V16" s="46">
        <f t="shared" si="4"/>
        <v>983.56799551580889</v>
      </c>
      <c r="W16" s="79">
        <f t="shared" si="5"/>
        <v>983.56799551580889</v>
      </c>
      <c r="X16" s="84">
        <f t="shared" ref="X16:X39" si="17">($K16*E16)/10^6</f>
        <v>164.54036469676387</v>
      </c>
      <c r="Y16" s="46">
        <f t="shared" si="6"/>
        <v>164.54036469676387</v>
      </c>
      <c r="Z16" s="79">
        <f t="shared" si="7"/>
        <v>164.54036469676387</v>
      </c>
      <c r="AA16" s="46">
        <f>($K16*INDEX(DeployedCapacities!$D$7:$D$31, MATCH($C16, DeployedCapacities!$C$7:$C$31, 0)))/10^6</f>
        <v>598.55252427116204</v>
      </c>
      <c r="AB16" s="46">
        <f t="shared" si="8"/>
        <v>763.09288896792589</v>
      </c>
      <c r="AC16" s="46">
        <f t="shared" si="9"/>
        <v>763.09288896792589</v>
      </c>
      <c r="AD16" s="46">
        <f t="shared" si="10"/>
        <v>763.09288896792589</v>
      </c>
      <c r="AE16" s="84">
        <f t="shared" si="11"/>
        <v>174.9549878787879</v>
      </c>
      <c r="AF16" s="46">
        <f t="shared" si="12"/>
        <v>207.71111999999999</v>
      </c>
      <c r="AG16" s="79">
        <f t="shared" si="13"/>
        <v>180.11554575757575</v>
      </c>
      <c r="AH16" s="84">
        <f t="shared" si="14"/>
        <v>1921.6158723625226</v>
      </c>
      <c r="AI16" s="46">
        <f t="shared" si="15"/>
        <v>1954.3720044837346</v>
      </c>
      <c r="AJ16" s="46">
        <f t="shared" si="16"/>
        <v>1926.7764302413104</v>
      </c>
    </row>
    <row r="17" spans="3:36">
      <c r="C17" t="s">
        <v>25</v>
      </c>
      <c r="D17" t="s">
        <v>412</v>
      </c>
      <c r="E17" s="59">
        <f>INDEX(DeployedCapacities!$D$73:$F$97, MATCH($C17, DeployedCapacities!$C$73:$C$97, 0), MATCH(E$12, DeployedCapacities!$D$71:$F$71, 0))</f>
        <v>32217.750000000004</v>
      </c>
      <c r="F17" s="46">
        <f>INDEX(DeployedCapacities!$D$73:$F$97, MATCH($C17, DeployedCapacities!$C$73:$C$97, 0), MATCH(F$12, DeployedCapacities!$D$71:$F$71, 0))</f>
        <v>32215.750000000004</v>
      </c>
      <c r="G17" s="46">
        <f>INDEX(DeployedCapacities!$D$73:$F$97, MATCH($C17, DeployedCapacities!$C$73:$C$97, 0), MATCH(G$12, DeployedCapacities!$D$71:$F$71, 0))</f>
        <v>6828.3000000000029</v>
      </c>
      <c r="H17" s="59">
        <f>SUMIFS(TechAssumptions!$J$16:$J$90, TechAssumptions!$C$16:$C$90, $C17, TechAssumptions!$D$16:$D$90, H$11)*1000</f>
        <v>662862.38532110082</v>
      </c>
      <c r="I17" s="46">
        <f>SUMIFS(TechAssumptions!$K$16:$K$90, TechAssumptions!$C$16:$C$90, $C17, TechAssumptions!$D$16:$D$90, I$11)*1000</f>
        <v>529015.17290049396</v>
      </c>
      <c r="J17" s="46">
        <f>SUMIFS(TechAssumptions!$L$16:$L$90, TechAssumptions!$C$16:$C$90, $C17, TechAssumptions!$D$16:$D$90, J$11)*1000</f>
        <v>669236.06210303458</v>
      </c>
      <c r="K17" s="46">
        <f>(SUMIFS(TechAssumptions!$J$16:$J$90, TechAssumptions!$C$16:$C$90, $C17, TechAssumptions!$D$16:$D$90, K$11))*1000</f>
        <v>9820.1834862385331</v>
      </c>
      <c r="L17" s="13">
        <f>SUMIFS(TechAssumptions!$J$16:$J$90, TechAssumptions!$C$16:$C$90, $C17, TechAssumptions!$D$16:$D$90, L$11)</f>
        <v>0</v>
      </c>
      <c r="M17" s="13">
        <f>INDEX(TechAssumptions!$G$16:$G$90, MATCH(C17, TechAssumptions!$C$16:$C$90, 0))</f>
        <v>35</v>
      </c>
      <c r="N17" s="14">
        <f>INDEX(TechAssumptions!$H$16:$H$90, MATCH(C17, TechAssumptions!$C$16:$C$90, 0))</f>
        <v>0.05</v>
      </c>
      <c r="O17" s="58">
        <f>SUMIFS(DispatchVols_LG!$I:$I, DispatchVols_LG!$E:$E, $C17, DispatchVols_LG!$C:$C, O$12)</f>
        <v>44053.47</v>
      </c>
      <c r="P17" s="13">
        <f>SUMIFS(DispatchVols_LG!$I:$I, DispatchVols_LG!$E:$E, $C17, DispatchVols_LG!$C:$C, P$12)</f>
        <v>37858.620000000003</v>
      </c>
      <c r="Q17" s="13">
        <f>SUMIFS(DispatchVols_LG!$I:$I, DispatchVols_LG!$E:$E, $C17, DispatchVols_LG!$C:$C, Q$12)</f>
        <v>22809.54</v>
      </c>
      <c r="R17" s="58">
        <f t="shared" si="0"/>
        <v>21355.934614678899</v>
      </c>
      <c r="S17" s="13">
        <f t="shared" si="1"/>
        <v>21354.608889908257</v>
      </c>
      <c r="T17" s="13">
        <f t="shared" si="2"/>
        <v>4526.2232256880752</v>
      </c>
      <c r="U17" s="84">
        <f t="shared" si="3"/>
        <v>1304.2433864288412</v>
      </c>
      <c r="V17" s="46">
        <f t="shared" si="4"/>
        <v>1304.16242215378</v>
      </c>
      <c r="W17" s="79">
        <f t="shared" si="5"/>
        <v>276.42417970069482</v>
      </c>
      <c r="X17" s="84">
        <f t="shared" si="17"/>
        <v>316.38421651376154</v>
      </c>
      <c r="Y17" s="46">
        <f t="shared" si="6"/>
        <v>316.36457614678909</v>
      </c>
      <c r="Z17" s="79">
        <f t="shared" si="7"/>
        <v>67.055158899082599</v>
      </c>
      <c r="AA17" s="46">
        <f>($K17*INDEX(DeployedCapacities!$D$7:$D$31, MATCH($C17, DeployedCapacities!$C$7:$C$31, 0)))/10^6</f>
        <v>148.64075229357798</v>
      </c>
      <c r="AB17" s="46">
        <f t="shared" si="8"/>
        <v>465.02496880733952</v>
      </c>
      <c r="AC17" s="46">
        <f t="shared" si="9"/>
        <v>465.00532844036707</v>
      </c>
      <c r="AD17" s="46">
        <f t="shared" si="10"/>
        <v>215.69591119266056</v>
      </c>
      <c r="AE17" s="84">
        <f t="shared" si="11"/>
        <v>0</v>
      </c>
      <c r="AF17" s="46">
        <f t="shared" si="12"/>
        <v>0</v>
      </c>
      <c r="AG17" s="79">
        <f t="shared" si="13"/>
        <v>0</v>
      </c>
      <c r="AH17" s="84">
        <f t="shared" si="14"/>
        <v>1769.2683552361805</v>
      </c>
      <c r="AI17" s="46">
        <f t="shared" si="15"/>
        <v>1769.167750594147</v>
      </c>
      <c r="AJ17" s="46">
        <f t="shared" si="16"/>
        <v>492.12009089335538</v>
      </c>
    </row>
    <row r="18" spans="3:36">
      <c r="C18" t="s">
        <v>26</v>
      </c>
      <c r="D18" t="s">
        <v>413</v>
      </c>
      <c r="E18" s="59">
        <f>INDEX(DeployedCapacities!$D$73:$F$97, MATCH($C18, DeployedCapacities!$C$73:$C$97, 0), MATCH(E$12, DeployedCapacities!$D$71:$F$71, 0))</f>
        <v>262.40999999999985</v>
      </c>
      <c r="F18" s="46">
        <f>INDEX(DeployedCapacities!$D$73:$F$97, MATCH($C18, DeployedCapacities!$C$73:$C$97, 0), MATCH(F$12, DeployedCapacities!$D$71:$F$71, 0))</f>
        <v>262.40999999999985</v>
      </c>
      <c r="G18" s="46">
        <f>INDEX(DeployedCapacities!$D$73:$F$97, MATCH($C18, DeployedCapacities!$C$73:$C$97, 0), MATCH(G$12, DeployedCapacities!$D$71:$F$71, 0))</f>
        <v>430.62999999999965</v>
      </c>
      <c r="H18" s="59">
        <f>SUMIFS(TechAssumptions!$J$16:$J$90, TechAssumptions!$C$16:$C$90, $C18, TechAssumptions!$D$16:$D$90, H$11)*1000</f>
        <v>11828007.395401591</v>
      </c>
      <c r="I18" s="46">
        <f>SUMIFS(TechAssumptions!$K$16:$K$90, TechAssumptions!$C$16:$C$90, $C18, TechAssumptions!$D$16:$D$90, I$11)*1000</f>
        <v>11828007.395401591</v>
      </c>
      <c r="J18" s="46">
        <f>SUMIFS(TechAssumptions!$L$16:$L$90, TechAssumptions!$C$16:$C$90, $C18, TechAssumptions!$D$16:$D$90, J$11)*1000</f>
        <v>11828007.395401591</v>
      </c>
      <c r="K18" s="46">
        <f>(SUMIFS(TechAssumptions!$J$16:$J$90, TechAssumptions!$C$16:$C$90, $C18, TechAssumptions!$D$16:$D$90, K$11))*1000</f>
        <v>228564.77064220185</v>
      </c>
      <c r="L18" s="13">
        <f>SUMIFS(TechAssumptions!$J$16:$J$90, TechAssumptions!$C$16:$C$90, $C18, TechAssumptions!$D$16:$D$90, L$11)</f>
        <v>33.143119266055045</v>
      </c>
      <c r="M18" s="13">
        <f>INDEX(TechAssumptions!$G$16:$G$90, MATCH(C18, TechAssumptions!$C$16:$C$90, 0))</f>
        <v>35</v>
      </c>
      <c r="N18" s="14">
        <f>INDEX(TechAssumptions!$H$16:$H$90, MATCH(C18, TechAssumptions!$C$16:$C$90, 0))</f>
        <v>6.5000000000000002E-2</v>
      </c>
      <c r="O18" s="58">
        <f>SUMIFS(DispatchVols_LG!$I:$I, DispatchVols_LG!$E:$E, $C18, DispatchVols_LG!$C:$C, O$12)</f>
        <v>7732.7</v>
      </c>
      <c r="P18" s="13">
        <f>SUMIFS(DispatchVols_LG!$I:$I, DispatchVols_LG!$E:$E, $C18, DispatchVols_LG!$C:$C, P$12)</f>
        <v>8584.7099999999991</v>
      </c>
      <c r="Q18" s="13">
        <f>SUMIFS(DispatchVols_LG!$I:$I, DispatchVols_LG!$E:$E, $C18, DispatchVols_LG!$C:$C, Q$12)</f>
        <v>12202.44</v>
      </c>
      <c r="R18" s="58">
        <f t="shared" si="0"/>
        <v>3103.78742062733</v>
      </c>
      <c r="S18" s="13">
        <f t="shared" si="1"/>
        <v>3103.78742062733</v>
      </c>
      <c r="T18" s="13">
        <f t="shared" si="2"/>
        <v>5093.4948246817839</v>
      </c>
      <c r="U18" s="84">
        <f t="shared" si="3"/>
        <v>226.76972546495986</v>
      </c>
      <c r="V18" s="46">
        <f t="shared" si="4"/>
        <v>226.76972546495986</v>
      </c>
      <c r="W18" s="79">
        <f t="shared" si="5"/>
        <v>372.14224639676706</v>
      </c>
      <c r="X18" s="84">
        <f t="shared" si="17"/>
        <v>59.977681464220154</v>
      </c>
      <c r="Y18" s="46">
        <f t="shared" si="6"/>
        <v>59.977681464220154</v>
      </c>
      <c r="Z18" s="79">
        <f t="shared" si="7"/>
        <v>98.426847181651311</v>
      </c>
      <c r="AA18" s="46">
        <f>($K18*INDEX(DeployedCapacities!$D$7:$D$31, MATCH($C18, DeployedCapacities!$C$7:$C$31, 0)))/10^6</f>
        <v>367.10930636697253</v>
      </c>
      <c r="AB18" s="46">
        <f t="shared" si="8"/>
        <v>427.08698783119269</v>
      </c>
      <c r="AC18" s="46">
        <f t="shared" si="9"/>
        <v>427.08698783119269</v>
      </c>
      <c r="AD18" s="46">
        <f t="shared" si="10"/>
        <v>465.53615354862382</v>
      </c>
      <c r="AE18" s="84">
        <f t="shared" si="11"/>
        <v>256.28579834862381</v>
      </c>
      <c r="AF18" s="46">
        <f t="shared" si="12"/>
        <v>284.52406739449538</v>
      </c>
      <c r="AG18" s="79">
        <f t="shared" si="13"/>
        <v>404.42692425688068</v>
      </c>
      <c r="AH18" s="84">
        <f t="shared" si="14"/>
        <v>910.14251164477628</v>
      </c>
      <c r="AI18" s="46">
        <f t="shared" si="15"/>
        <v>938.38078069064795</v>
      </c>
      <c r="AJ18" s="46">
        <f t="shared" si="16"/>
        <v>1242.1053242022715</v>
      </c>
    </row>
    <row r="19" spans="3:36">
      <c r="C19" t="s">
        <v>216</v>
      </c>
      <c r="D19" t="s">
        <v>413</v>
      </c>
      <c r="E19" s="59">
        <f>INDEX(DeployedCapacities!$D$73:$F$97, MATCH($C19, DeployedCapacities!$C$73:$C$97, 0), MATCH(E$12, DeployedCapacities!$D$71:$F$71, 0))</f>
        <v>612.53</v>
      </c>
      <c r="F19" s="46">
        <f>INDEX(DeployedCapacities!$D$73:$F$97, MATCH($C19, DeployedCapacities!$C$73:$C$97, 0), MATCH(F$12, DeployedCapacities!$D$71:$F$71, 0))</f>
        <v>612.53</v>
      </c>
      <c r="G19" s="46">
        <f>INDEX(DeployedCapacities!$D$73:$F$97, MATCH($C19, DeployedCapacities!$C$73:$C$97, 0), MATCH(G$12, DeployedCapacities!$D$71:$F$71, 0))</f>
        <v>0</v>
      </c>
      <c r="H19" s="59">
        <f>SUMIFS(TechAssumptions!$J$16:$J$90, TechAssumptions!$C$16:$C$90, $C19, TechAssumptions!$D$16:$D$90, H$11)*1000</f>
        <v>16046179.81651376</v>
      </c>
      <c r="I19" s="46">
        <f>SUMIFS(TechAssumptions!$K$16:$K$90, TechAssumptions!$C$16:$C$90, $C19, TechAssumptions!$D$16:$D$90, I$11)*1000</f>
        <v>9244658.7904275842</v>
      </c>
      <c r="J19" s="46">
        <f>SUMIFS(TechAssumptions!$L$16:$L$90, TechAssumptions!$C$16:$C$90, $C19, TechAssumptions!$D$16:$D$90, J$11)*1000</f>
        <v>19553827.606746785</v>
      </c>
      <c r="K19" s="46">
        <f>(SUMIFS(TechAssumptions!$J$16:$J$90, TechAssumptions!$C$16:$C$90, $C19, TechAssumptions!$D$16:$D$90, K$11))*1000</f>
        <v>228564.77064220185</v>
      </c>
      <c r="L19" s="13">
        <f>SUMIFS(TechAssumptions!$J$16:$J$90, TechAssumptions!$C$16:$C$90, $C19, TechAssumptions!$D$16:$D$90, L$11)</f>
        <v>74.878899082568807</v>
      </c>
      <c r="M19" s="13">
        <f>INDEX(TechAssumptions!$G$16:$G$90, MATCH(C19, TechAssumptions!$C$16:$C$90, 0))</f>
        <v>27</v>
      </c>
      <c r="N19" s="14">
        <f>INDEX(TechAssumptions!$H$16:$H$90, MATCH(C19, TechAssumptions!$C$16:$C$90, 0))</f>
        <v>6.5000000000000002E-2</v>
      </c>
      <c r="O19" s="58">
        <f>SUMIFS(DispatchVols_LG!$I:$I, DispatchVols_LG!$E:$E, $C19, DispatchVols_LG!$C:$C, O$12)</f>
        <v>0</v>
      </c>
      <c r="P19" s="13">
        <f>SUMIFS(DispatchVols_LG!$I:$I, DispatchVols_LG!$E:$E, $C19, DispatchVols_LG!$C:$C, P$12)</f>
        <v>0</v>
      </c>
      <c r="Q19" s="13">
        <f>SUMIFS(DispatchVols_LG!$I:$I, DispatchVols_LG!$E:$E, $C19, DispatchVols_LG!$C:$C, Q$12)</f>
        <v>0</v>
      </c>
      <c r="R19" s="58">
        <f t="shared" si="0"/>
        <v>9828.7665230091716</v>
      </c>
      <c r="S19" s="13">
        <f t="shared" si="1"/>
        <v>9828.7665230091716</v>
      </c>
      <c r="T19" s="13">
        <f t="shared" si="2"/>
        <v>0</v>
      </c>
      <c r="U19" s="84">
        <f t="shared" si="3"/>
        <v>781.61179714717855</v>
      </c>
      <c r="V19" s="46">
        <f t="shared" si="4"/>
        <v>781.61179714717855</v>
      </c>
      <c r="W19" s="79">
        <f t="shared" si="5"/>
        <v>0</v>
      </c>
      <c r="X19" s="84">
        <f t="shared" si="17"/>
        <v>140.0027789614679</v>
      </c>
      <c r="Y19" s="46">
        <f t="shared" si="6"/>
        <v>140.0027789614679</v>
      </c>
      <c r="Z19" s="79">
        <f t="shared" si="7"/>
        <v>0</v>
      </c>
      <c r="AA19" s="46">
        <f>($K19*INDEX(DeployedCapacities!$D$7:$D$31, MATCH($C19, DeployedCapacities!$C$7:$C$31, 0)))/10^6</f>
        <v>0</v>
      </c>
      <c r="AB19" s="46">
        <f t="shared" si="8"/>
        <v>140.0027789614679</v>
      </c>
      <c r="AC19" s="46">
        <f t="shared" si="9"/>
        <v>140.0027789614679</v>
      </c>
      <c r="AD19" s="46">
        <f t="shared" si="10"/>
        <v>0</v>
      </c>
      <c r="AE19" s="84">
        <f t="shared" si="11"/>
        <v>0</v>
      </c>
      <c r="AF19" s="46">
        <f t="shared" si="12"/>
        <v>0</v>
      </c>
      <c r="AG19" s="79">
        <f t="shared" si="13"/>
        <v>0</v>
      </c>
      <c r="AH19" s="84">
        <f t="shared" si="14"/>
        <v>921.61457610864647</v>
      </c>
      <c r="AI19" s="46">
        <f t="shared" si="15"/>
        <v>921.61457610864647</v>
      </c>
      <c r="AJ19" s="46">
        <f t="shared" si="16"/>
        <v>0</v>
      </c>
    </row>
    <row r="20" spans="3:36">
      <c r="C20" t="s">
        <v>209</v>
      </c>
      <c r="D20" t="s">
        <v>410</v>
      </c>
      <c r="E20" s="59">
        <f>INDEX(DeployedCapacities!$D$73:$F$97, MATCH($C20, DeployedCapacities!$C$73:$C$97, 0), MATCH(E$12, DeployedCapacities!$D$71:$F$71, 0))</f>
        <v>1447.86</v>
      </c>
      <c r="F20" s="46">
        <f>INDEX(DeployedCapacities!$D$73:$F$97, MATCH($C20, DeployedCapacities!$C$73:$C$97, 0), MATCH(F$12, DeployedCapacities!$D$71:$F$71, 0))</f>
        <v>1447.86</v>
      </c>
      <c r="G20" s="46">
        <f>INDEX(DeployedCapacities!$D$73:$F$97, MATCH($C20, DeployedCapacities!$C$73:$C$97, 0), MATCH(G$12, DeployedCapacities!$D$71:$F$71, 0))</f>
        <v>1921.6833220999999</v>
      </c>
      <c r="H20" s="59">
        <f>SUMIFS(TechAssumptions!$J$16:$J$90, TechAssumptions!$C$16:$C$90, $C20, TechAssumptions!$D$16:$D$90, H$11)*1000</f>
        <v>1181198.5583224115</v>
      </c>
      <c r="I20" s="46">
        <f>SUMIFS(TechAssumptions!$K$16:$K$90, TechAssumptions!$C$16:$C$90, $C20, TechAssumptions!$D$16:$D$90, I$11)*1000</f>
        <v>1181198.5583224115</v>
      </c>
      <c r="J20" s="46">
        <f>SUMIFS(TechAssumptions!$L$16:$L$90, TechAssumptions!$C$16:$C$90, $C20, TechAssumptions!$D$16:$D$90, J$11)*1000</f>
        <v>1181198.5583224115</v>
      </c>
      <c r="K20" s="46">
        <f>(SUMIFS(TechAssumptions!$J$16:$J$90, TechAssumptions!$C$16:$C$90, $C20, TechAssumptions!$D$16:$D$90, K$11))*1000</f>
        <v>43699.816513761463</v>
      </c>
      <c r="L20" s="13">
        <f>SUMIFS(TechAssumptions!$J$16:$J$90, TechAssumptions!$C$16:$C$90, $C20, TechAssumptions!$D$16:$D$90, L$11)</f>
        <v>4.9100917431192661</v>
      </c>
      <c r="M20" s="13">
        <f>INDEX(TechAssumptions!$G$16:$G$90, MATCH(C20, TechAssumptions!$C$16:$C$90, 0))</f>
        <v>25</v>
      </c>
      <c r="N20" s="14">
        <f>INDEX(TechAssumptions!$H$16:$H$90, MATCH(C20, TechAssumptions!$C$16:$C$90, 0))</f>
        <v>0.09</v>
      </c>
      <c r="O20" s="58">
        <f>SUMIFS(DispatchVols_LG!$I:$I, DispatchVols_LG!$E:$E, $C20, DispatchVols_LG!$C:$C, O$12)</f>
        <v>0</v>
      </c>
      <c r="P20" s="13">
        <f>SUMIFS(DispatchVols_LG!$I:$I, DispatchVols_LG!$E:$E, $C20, DispatchVols_LG!$C:$C, P$12)</f>
        <v>0</v>
      </c>
      <c r="Q20" s="13">
        <f>SUMIFS(DispatchVols_LG!$I:$I, DispatchVols_LG!$E:$E, $C20, DispatchVols_LG!$C:$C, Q$12)</f>
        <v>0</v>
      </c>
      <c r="R20" s="58">
        <f t="shared" si="0"/>
        <v>1710.2101446526865</v>
      </c>
      <c r="S20" s="13">
        <f t="shared" si="1"/>
        <v>1710.2101446526865</v>
      </c>
      <c r="T20" s="13">
        <f t="shared" si="2"/>
        <v>2269.8895696167419</v>
      </c>
      <c r="U20" s="84">
        <f t="shared" si="3"/>
        <v>174.11008242591438</v>
      </c>
      <c r="V20" s="46">
        <f t="shared" si="4"/>
        <v>174.11008242591438</v>
      </c>
      <c r="W20" s="79">
        <f t="shared" si="5"/>
        <v>231.08894617389521</v>
      </c>
      <c r="X20" s="84">
        <f t="shared" si="17"/>
        <v>63.271216337614668</v>
      </c>
      <c r="Y20" s="46">
        <f t="shared" si="6"/>
        <v>63.271216337614668</v>
      </c>
      <c r="Z20" s="79">
        <f t="shared" si="7"/>
        <v>83.977208573325555</v>
      </c>
      <c r="AA20" s="46">
        <f>($K20*INDEX(DeployedCapacities!$D$7:$D$31, MATCH($C20, DeployedCapacities!$C$7:$C$31, 0)))/10^6</f>
        <v>0</v>
      </c>
      <c r="AB20" s="46">
        <f t="shared" si="8"/>
        <v>63.271216337614668</v>
      </c>
      <c r="AC20" s="46">
        <f t="shared" si="9"/>
        <v>63.271216337614668</v>
      </c>
      <c r="AD20" s="46">
        <f t="shared" si="10"/>
        <v>83.977208573325555</v>
      </c>
      <c r="AE20" s="84">
        <f t="shared" si="11"/>
        <v>0</v>
      </c>
      <c r="AF20" s="46">
        <f t="shared" si="12"/>
        <v>0</v>
      </c>
      <c r="AG20" s="79">
        <f t="shared" si="13"/>
        <v>0</v>
      </c>
      <c r="AH20" s="84">
        <f t="shared" si="14"/>
        <v>237.38129876352906</v>
      </c>
      <c r="AI20" s="46">
        <f t="shared" si="15"/>
        <v>237.38129876352906</v>
      </c>
      <c r="AJ20" s="46">
        <f t="shared" si="16"/>
        <v>315.06615474722076</v>
      </c>
    </row>
    <row r="21" spans="3:36">
      <c r="C21" t="s">
        <v>210</v>
      </c>
      <c r="D21" t="s">
        <v>413</v>
      </c>
      <c r="E21" s="59">
        <f>INDEX(DeployedCapacities!$D$73:$F$97, MATCH($C21, DeployedCapacities!$C$73:$C$97, 0), MATCH(E$12, DeployedCapacities!$D$71:$F$71, 0))</f>
        <v>146.47</v>
      </c>
      <c r="F21" s="46">
        <f>INDEX(DeployedCapacities!$D$73:$F$97, MATCH($C21, DeployedCapacities!$C$73:$C$97, 0), MATCH(F$12, DeployedCapacities!$D$71:$F$71, 0))</f>
        <v>146.47</v>
      </c>
      <c r="G21" s="46">
        <f>INDEX(DeployedCapacities!$D$73:$F$97, MATCH($C21, DeployedCapacities!$C$73:$C$97, 0), MATCH(G$12, DeployedCapacities!$D$71:$F$71, 0))</f>
        <v>0</v>
      </c>
      <c r="H21" s="59">
        <f>SUMIFS(TechAssumptions!$J$16:$J$90, TechAssumptions!$C$16:$C$90, $C21, TechAssumptions!$D$16:$D$90, H$11)*1000</f>
        <v>892102.29357798165</v>
      </c>
      <c r="I21" s="46">
        <f>SUMIFS(TechAssumptions!$K$16:$K$90, TechAssumptions!$C$16:$C$90, $C21, TechAssumptions!$D$16:$D$90, I$11)*1000</f>
        <v>892102.29357798165</v>
      </c>
      <c r="J21" s="46">
        <f>SUMIFS(TechAssumptions!$L$16:$L$90, TechAssumptions!$C$16:$C$90, $C21, TechAssumptions!$D$16:$D$90, J$11)*1000</f>
        <v>892102.29357798165</v>
      </c>
      <c r="K21" s="46">
        <f>(SUMIFS(TechAssumptions!$J$16:$J$90, TechAssumptions!$C$16:$C$90, $C21, TechAssumptions!$D$16:$D$90, K$11))*1000</f>
        <v>22463.669724770643</v>
      </c>
      <c r="L21" s="13">
        <f>SUMIFS(TechAssumptions!$J$16:$J$90, TechAssumptions!$C$16:$C$90, $C21, TechAssumptions!$D$16:$D$90, L$11)</f>
        <v>2.4550458715596331</v>
      </c>
      <c r="M21" s="13">
        <f>INDEX(TechAssumptions!$G$16:$G$90, MATCH(C21, TechAssumptions!$C$16:$C$90, 0))</f>
        <v>25</v>
      </c>
      <c r="N21" s="14">
        <f>INDEX(TechAssumptions!$H$16:$H$90, MATCH(C21, TechAssumptions!$C$16:$C$90, 0))</f>
        <v>0.09</v>
      </c>
      <c r="O21" s="58">
        <f>SUMIFS(DispatchVols_LG!$I:$I, DispatchVols_LG!$E:$E, $C21, DispatchVols_LG!$C:$C, O$12)</f>
        <v>0</v>
      </c>
      <c r="P21" s="13">
        <f>SUMIFS(DispatchVols_LG!$I:$I, DispatchVols_LG!$E:$E, $C21, DispatchVols_LG!$C:$C, P$12)</f>
        <v>0</v>
      </c>
      <c r="Q21" s="13">
        <f>SUMIFS(DispatchVols_LG!$I:$I, DispatchVols_LG!$E:$E, $C21, DispatchVols_LG!$C:$C, Q$12)</f>
        <v>0</v>
      </c>
      <c r="R21" s="58">
        <f t="shared" si="0"/>
        <v>130.66622294036696</v>
      </c>
      <c r="S21" s="13">
        <f t="shared" si="1"/>
        <v>130.66622294036696</v>
      </c>
      <c r="T21" s="13">
        <f t="shared" si="2"/>
        <v>0</v>
      </c>
      <c r="U21" s="84">
        <f t="shared" si="3"/>
        <v>13.302638226982559</v>
      </c>
      <c r="V21" s="46">
        <f t="shared" si="4"/>
        <v>13.302638226982559</v>
      </c>
      <c r="W21" s="79">
        <f t="shared" si="5"/>
        <v>0</v>
      </c>
      <c r="X21" s="84">
        <f t="shared" si="17"/>
        <v>3.290253704587156</v>
      </c>
      <c r="Y21" s="46">
        <f t="shared" si="6"/>
        <v>3.290253704587156</v>
      </c>
      <c r="Z21" s="79">
        <f t="shared" si="7"/>
        <v>0</v>
      </c>
      <c r="AA21" s="46">
        <f>($K21*INDEX(DeployedCapacities!$D$7:$D$31, MATCH($C21, DeployedCapacities!$C$7:$C$31, 0)))/10^6</f>
        <v>0</v>
      </c>
      <c r="AB21" s="46">
        <f t="shared" si="8"/>
        <v>3.290253704587156</v>
      </c>
      <c r="AC21" s="46">
        <f t="shared" si="9"/>
        <v>3.290253704587156</v>
      </c>
      <c r="AD21" s="46">
        <f t="shared" si="10"/>
        <v>0</v>
      </c>
      <c r="AE21" s="84">
        <f t="shared" si="11"/>
        <v>0</v>
      </c>
      <c r="AF21" s="46">
        <f t="shared" si="12"/>
        <v>0</v>
      </c>
      <c r="AG21" s="79">
        <f t="shared" si="13"/>
        <v>0</v>
      </c>
      <c r="AH21" s="84">
        <f t="shared" si="14"/>
        <v>16.592891931569714</v>
      </c>
      <c r="AI21" s="46">
        <f t="shared" si="15"/>
        <v>16.592891931569714</v>
      </c>
      <c r="AJ21" s="46">
        <f t="shared" si="16"/>
        <v>0</v>
      </c>
    </row>
    <row r="22" spans="3:36">
      <c r="C22" t="s">
        <v>29</v>
      </c>
      <c r="D22" t="s">
        <v>413</v>
      </c>
      <c r="E22" s="59">
        <f>INDEX(DeployedCapacities!$D$73:$F$97, MATCH($C22, DeployedCapacities!$C$73:$C$97, 0), MATCH(E$12, DeployedCapacities!$D$71:$F$71, 0))</f>
        <v>0</v>
      </c>
      <c r="F22" s="46">
        <f>INDEX(DeployedCapacities!$D$73:$F$97, MATCH($C22, DeployedCapacities!$C$73:$C$97, 0), MATCH(F$12, DeployedCapacities!$D$71:$F$71, 0))</f>
        <v>0</v>
      </c>
      <c r="G22" s="46">
        <f>INDEX(DeployedCapacities!$D$73:$F$97, MATCH($C22, DeployedCapacities!$C$73:$C$97, 0), MATCH(G$12, DeployedCapacities!$D$71:$F$71, 0))</f>
        <v>0</v>
      </c>
      <c r="H22" s="59">
        <f>SUMIFS(TechAssumptions!$J$16:$J$90, TechAssumptions!$C$16:$C$90, $C22, TechAssumptions!$D$16:$D$90, H$11)*1000</f>
        <v>7332787.2309002094</v>
      </c>
      <c r="I22" s="46">
        <f>SUMIFS(TechAssumptions!$K$16:$K$90, TechAssumptions!$C$16:$C$90, $C22, TechAssumptions!$D$16:$D$90, I$11)*1000</f>
        <v>5596174.7388486071</v>
      </c>
      <c r="J22" s="46">
        <f>SUMIFS(TechAssumptions!$L$16:$L$90, TechAssumptions!$C$16:$C$90, $C22, TechAssumptions!$D$16:$D$90, J$11)*1000</f>
        <v>8710183.0331977941</v>
      </c>
      <c r="K22" s="46">
        <f>(SUMIFS(TechAssumptions!$J$16:$J$90, TechAssumptions!$C$16:$C$90, $C22, TechAssumptions!$D$16:$D$90, K$11))*1000</f>
        <v>353894.86238532112</v>
      </c>
      <c r="L22" s="13">
        <f>SUMIFS(TechAssumptions!$J$16:$J$90, TechAssumptions!$C$16:$C$90, $C22, TechAssumptions!$D$16:$D$90, L$11)</f>
        <v>12.275229357798166</v>
      </c>
      <c r="M22" s="13">
        <f>INDEX(TechAssumptions!$G$16:$G$90, MATCH(C22, TechAssumptions!$C$16:$C$90, 0))</f>
        <v>24</v>
      </c>
      <c r="N22" s="14">
        <f>INDEX(TechAssumptions!$H$16:$H$90, MATCH(C22, TechAssumptions!$C$16:$C$90, 0))</f>
        <v>9.9000000000000005E-2</v>
      </c>
      <c r="O22" s="58">
        <f>SUMIFS(DispatchVols_LG!$I:$I, DispatchVols_LG!$E:$E, $C22, DispatchVols_LG!$C:$C, O$12)</f>
        <v>23.76</v>
      </c>
      <c r="P22" s="13">
        <f>SUMIFS(DispatchVols_LG!$I:$I, DispatchVols_LG!$E:$E, $C22, DispatchVols_LG!$C:$C, P$12)</f>
        <v>26.14</v>
      </c>
      <c r="Q22" s="13">
        <f>SUMIFS(DispatchVols_LG!$I:$I, DispatchVols_LG!$E:$E, $C22, DispatchVols_LG!$C:$C, Q$12)</f>
        <v>0.79</v>
      </c>
      <c r="R22" s="58">
        <f t="shared" si="0"/>
        <v>0</v>
      </c>
      <c r="S22" s="13">
        <f t="shared" si="1"/>
        <v>0</v>
      </c>
      <c r="T22" s="13">
        <f t="shared" si="2"/>
        <v>0</v>
      </c>
      <c r="U22" s="84">
        <f t="shared" si="3"/>
        <v>0</v>
      </c>
      <c r="V22" s="46">
        <f t="shared" si="4"/>
        <v>0</v>
      </c>
      <c r="W22" s="79">
        <f t="shared" si="5"/>
        <v>0</v>
      </c>
      <c r="X22" s="84">
        <f t="shared" si="17"/>
        <v>0</v>
      </c>
      <c r="Y22" s="46">
        <f t="shared" si="6"/>
        <v>0</v>
      </c>
      <c r="Z22" s="79">
        <f t="shared" si="7"/>
        <v>0</v>
      </c>
      <c r="AA22" s="46">
        <f>($K22*INDEX(DeployedCapacities!$D$7:$D$31, MATCH($C22, DeployedCapacities!$C$7:$C$31, 0)))/10^6</f>
        <v>46.714121834862389</v>
      </c>
      <c r="AB22" s="46">
        <f t="shared" si="8"/>
        <v>46.714121834862389</v>
      </c>
      <c r="AC22" s="46">
        <f t="shared" si="9"/>
        <v>46.714121834862389</v>
      </c>
      <c r="AD22" s="46">
        <f t="shared" si="10"/>
        <v>46.714121834862389</v>
      </c>
      <c r="AE22" s="84">
        <f t="shared" si="11"/>
        <v>0.29165944954128442</v>
      </c>
      <c r="AF22" s="46">
        <f t="shared" si="12"/>
        <v>0.32087449541284407</v>
      </c>
      <c r="AG22" s="79">
        <f t="shared" si="13"/>
        <v>9.6974311926605519E-3</v>
      </c>
      <c r="AH22" s="84">
        <f t="shared" si="14"/>
        <v>47.005781284403675</v>
      </c>
      <c r="AI22" s="46">
        <f t="shared" si="15"/>
        <v>47.034996330275234</v>
      </c>
      <c r="AJ22" s="46">
        <f t="shared" si="16"/>
        <v>46.723819266055052</v>
      </c>
    </row>
    <row r="23" spans="3:36">
      <c r="C23" t="s">
        <v>30</v>
      </c>
      <c r="D23" t="s">
        <v>410</v>
      </c>
      <c r="E23" s="59">
        <f>INDEX(DeployedCapacities!$D$73:$F$97, MATCH($C23, DeployedCapacities!$C$73:$C$97, 0), MATCH(E$12, DeployedCapacities!$D$71:$F$71, 0))</f>
        <v>0</v>
      </c>
      <c r="F23" s="46">
        <f>INDEX(DeployedCapacities!$D$73:$F$97, MATCH($C23, DeployedCapacities!$C$73:$C$97, 0), MATCH(F$12, DeployedCapacities!$D$71:$F$71, 0))</f>
        <v>0</v>
      </c>
      <c r="G23" s="46">
        <f>INDEX(DeployedCapacities!$D$73:$F$97, MATCH($C23, DeployedCapacities!$C$73:$C$97, 0), MATCH(G$12, DeployedCapacities!$D$71:$F$71, 0))</f>
        <v>0</v>
      </c>
      <c r="H23" s="59">
        <f>SUMIFS(TechAssumptions!$J$16:$J$90, TechAssumptions!$C$16:$C$90, $C23, TechAssumptions!$D$16:$D$90, H$11)*1000</f>
        <v>766485.77981651376</v>
      </c>
      <c r="I23" s="46">
        <f>SUMIFS(TechAssumptions!$K$16:$K$90, TechAssumptions!$C$16:$C$90, $C23, TechAssumptions!$D$16:$D$90, I$11)*1000</f>
        <v>766485.77981651376</v>
      </c>
      <c r="J23" s="46">
        <f>SUMIFS(TechAssumptions!$L$16:$L$90, TechAssumptions!$C$16:$C$90, $C23, TechAssumptions!$D$16:$D$90, J$11)*1000</f>
        <v>766485.77981651376</v>
      </c>
      <c r="K23" s="46">
        <f>(SUMIFS(TechAssumptions!$J$16:$J$90, TechAssumptions!$C$16:$C$90, $C23, TechAssumptions!$D$16:$D$90, K$11))*1000</f>
        <v>20131.376146788989</v>
      </c>
      <c r="L23" s="13">
        <f>SUMIFS(TechAssumptions!$J$16:$J$90, TechAssumptions!$C$16:$C$90, $C23, TechAssumptions!$D$16:$D$90, L$11)</f>
        <v>2.4550458715596331</v>
      </c>
      <c r="M23" s="13">
        <f>INDEX(TechAssumptions!$G$16:$G$90, MATCH(C23, TechAssumptions!$C$16:$C$90, 0))</f>
        <v>25</v>
      </c>
      <c r="N23" s="14">
        <f>INDEX(TechAssumptions!$H$16:$H$90, MATCH(C23, TechAssumptions!$C$16:$C$90, 0))</f>
        <v>7.4999999999999997E-2</v>
      </c>
      <c r="O23" s="58">
        <f>SUMIFS(DispatchVols_LG!$I:$I, DispatchVols_LG!$E:$E, $C23, DispatchVols_LG!$C:$C, O$12)</f>
        <v>18443.23</v>
      </c>
      <c r="P23" s="13">
        <f>SUMIFS(DispatchVols_LG!$I:$I, DispatchVols_LG!$E:$E, $C23, DispatchVols_LG!$C:$C, P$12)</f>
        <v>20496.91</v>
      </c>
      <c r="Q23" s="13">
        <f>SUMIFS(DispatchVols_LG!$I:$I, DispatchVols_LG!$E:$E, $C23, DispatchVols_LG!$C:$C, Q$12)</f>
        <v>64068.17</v>
      </c>
      <c r="R23" s="58">
        <f t="shared" si="0"/>
        <v>0</v>
      </c>
      <c r="S23" s="13">
        <f t="shared" si="1"/>
        <v>0</v>
      </c>
      <c r="T23" s="13">
        <f t="shared" si="2"/>
        <v>0</v>
      </c>
      <c r="U23" s="84">
        <f t="shared" si="3"/>
        <v>0</v>
      </c>
      <c r="V23" s="46">
        <f t="shared" si="4"/>
        <v>0</v>
      </c>
      <c r="W23" s="79">
        <f t="shared" si="5"/>
        <v>0</v>
      </c>
      <c r="X23" s="84">
        <f t="shared" si="17"/>
        <v>0</v>
      </c>
      <c r="Y23" s="46">
        <f t="shared" si="6"/>
        <v>0</v>
      </c>
      <c r="Z23" s="79">
        <f t="shared" si="7"/>
        <v>0</v>
      </c>
      <c r="AA23" s="46">
        <f>($K23*INDEX(DeployedCapacities!$D$7:$D$31, MATCH($C23, DeployedCapacities!$C$7:$C$31, 0)))/10^6</f>
        <v>589.89340881467876</v>
      </c>
      <c r="AB23" s="46">
        <f t="shared" si="8"/>
        <v>589.89340881467876</v>
      </c>
      <c r="AC23" s="46">
        <f t="shared" si="9"/>
        <v>589.89340881467876</v>
      </c>
      <c r="AD23" s="46">
        <f t="shared" si="10"/>
        <v>589.89340881467876</v>
      </c>
      <c r="AE23" s="84">
        <f t="shared" si="11"/>
        <v>45.27897566972478</v>
      </c>
      <c r="AF23" s="46">
        <f t="shared" si="12"/>
        <v>50.320854275229365</v>
      </c>
      <c r="AG23" s="79">
        <f t="shared" si="13"/>
        <v>157.29029625688074</v>
      </c>
      <c r="AH23" s="84">
        <f t="shared" si="14"/>
        <v>635.17238448440355</v>
      </c>
      <c r="AI23" s="46">
        <f t="shared" si="15"/>
        <v>640.21426308990817</v>
      </c>
      <c r="AJ23" s="46">
        <f t="shared" si="16"/>
        <v>747.18370507155953</v>
      </c>
    </row>
    <row r="24" spans="3:36">
      <c r="C24" t="s">
        <v>31</v>
      </c>
      <c r="D24" t="s">
        <v>413</v>
      </c>
      <c r="E24" s="59">
        <f>INDEX(DeployedCapacities!$D$73:$F$97, MATCH($C24, DeployedCapacities!$C$73:$C$97, 0), MATCH(E$12, DeployedCapacities!$D$71:$F$71, 0))</f>
        <v>0</v>
      </c>
      <c r="F24" s="46">
        <f>INDEX(DeployedCapacities!$D$73:$F$97, MATCH($C24, DeployedCapacities!$C$73:$C$97, 0), MATCH(F$12, DeployedCapacities!$D$71:$F$71, 0))</f>
        <v>1000</v>
      </c>
      <c r="G24" s="46">
        <f>INDEX(DeployedCapacities!$D$73:$F$97, MATCH($C24, DeployedCapacities!$C$73:$C$97, 0), MATCH(G$12, DeployedCapacities!$D$71:$F$71, 0))</f>
        <v>0</v>
      </c>
      <c r="H24" s="59">
        <f>SUMIFS(TechAssumptions!$J$16:$J$90, TechAssumptions!$C$16:$C$90, $C24, TechAssumptions!$D$16:$D$90, H$11)*1000</f>
        <v>892102.29357798165</v>
      </c>
      <c r="I24" s="46">
        <f>SUMIFS(TechAssumptions!$K$16:$K$90, TechAssumptions!$C$16:$C$90, $C24, TechAssumptions!$D$16:$D$90, I$11)*1000</f>
        <v>892102.29357798165</v>
      </c>
      <c r="J24" s="46">
        <f>SUMIFS(TechAssumptions!$L$16:$L$90, TechAssumptions!$C$16:$C$90, $C24, TechAssumptions!$D$16:$D$90, J$11)*1000</f>
        <v>892102.29357798165</v>
      </c>
      <c r="K24" s="46">
        <f>(SUMIFS(TechAssumptions!$J$16:$J$90, TechAssumptions!$C$16:$C$90, $C24, TechAssumptions!$D$16:$D$90, K$11))*1000</f>
        <v>22463.669724770643</v>
      </c>
      <c r="L24" s="13">
        <f>SUMIFS(TechAssumptions!$J$16:$J$90, TechAssumptions!$C$16:$C$90, $C24, TechAssumptions!$D$16:$D$90, L$11)</f>
        <v>2.4550458715596331</v>
      </c>
      <c r="M24" s="13">
        <f>INDEX(TechAssumptions!$G$16:$G$90, MATCH(C24, TechAssumptions!$C$16:$C$90, 0))</f>
        <v>25</v>
      </c>
      <c r="N24" s="14">
        <f>INDEX(TechAssumptions!$H$16:$H$90, MATCH(C24, TechAssumptions!$C$16:$C$90, 0))</f>
        <v>0.09</v>
      </c>
      <c r="O24" s="58">
        <f>SUMIFS(DispatchVols_LG!$I:$I, DispatchVols_LG!$E:$E, $C24, DispatchVols_LG!$C:$C, O$12)</f>
        <v>0</v>
      </c>
      <c r="P24" s="13">
        <f>SUMIFS(DispatchVols_LG!$I:$I, DispatchVols_LG!$E:$E, $C24, DispatchVols_LG!$C:$C, P$12)</f>
        <v>4995.5</v>
      </c>
      <c r="Q24" s="13">
        <f>SUMIFS(DispatchVols_LG!$I:$I, DispatchVols_LG!$E:$E, $C24, DispatchVols_LG!$C:$C, Q$12)</f>
        <v>0</v>
      </c>
      <c r="R24" s="58">
        <f t="shared" si="0"/>
        <v>0</v>
      </c>
      <c r="S24" s="13">
        <f t="shared" si="1"/>
        <v>892.10229357798164</v>
      </c>
      <c r="T24" s="13">
        <f t="shared" si="2"/>
        <v>0</v>
      </c>
      <c r="U24" s="84">
        <f t="shared" si="3"/>
        <v>0</v>
      </c>
      <c r="V24" s="46">
        <f t="shared" si="4"/>
        <v>90.821589588192509</v>
      </c>
      <c r="W24" s="79">
        <f t="shared" si="5"/>
        <v>0</v>
      </c>
      <c r="X24" s="84">
        <f t="shared" si="17"/>
        <v>0</v>
      </c>
      <c r="Y24" s="46">
        <f t="shared" si="6"/>
        <v>22.463669724770643</v>
      </c>
      <c r="Z24" s="79">
        <f t="shared" si="7"/>
        <v>0</v>
      </c>
      <c r="AA24" s="46">
        <f>($K24*INDEX(DeployedCapacities!$D$7:$D$31, MATCH($C24, DeployedCapacities!$C$7:$C$31, 0)))/10^6</f>
        <v>0</v>
      </c>
      <c r="AB24" s="46">
        <f t="shared" si="8"/>
        <v>0</v>
      </c>
      <c r="AC24" s="46">
        <f t="shared" si="9"/>
        <v>22.463669724770643</v>
      </c>
      <c r="AD24" s="46">
        <f t="shared" si="10"/>
        <v>0</v>
      </c>
      <c r="AE24" s="84">
        <f t="shared" si="11"/>
        <v>0</v>
      </c>
      <c r="AF24" s="46">
        <f t="shared" si="12"/>
        <v>12.264181651376148</v>
      </c>
      <c r="AG24" s="79">
        <f t="shared" si="13"/>
        <v>0</v>
      </c>
      <c r="AH24" s="84">
        <f t="shared" si="14"/>
        <v>0</v>
      </c>
      <c r="AI24" s="46">
        <f t="shared" si="15"/>
        <v>125.5494409643393</v>
      </c>
      <c r="AJ24" s="46">
        <f t="shared" si="16"/>
        <v>0</v>
      </c>
    </row>
    <row r="25" spans="3:36">
      <c r="C25" t="s">
        <v>32</v>
      </c>
      <c r="D25" t="s">
        <v>413</v>
      </c>
      <c r="E25" s="59">
        <f>INDEX(DeployedCapacities!$D$73:$F$97, MATCH($C25, DeployedCapacities!$C$73:$C$97, 0), MATCH(E$12, DeployedCapacities!$D$71:$F$71, 0))</f>
        <v>450</v>
      </c>
      <c r="F25" s="46">
        <f>INDEX(DeployedCapacities!$D$73:$F$97, MATCH($C25, DeployedCapacities!$C$73:$C$97, 0), MATCH(F$12, DeployedCapacities!$D$71:$F$71, 0))</f>
        <v>900</v>
      </c>
      <c r="G25" s="46">
        <f>INDEX(DeployedCapacities!$D$73:$F$97, MATCH($C25, DeployedCapacities!$C$73:$C$97, 0), MATCH(G$12, DeployedCapacities!$D$71:$F$71, 0))</f>
        <v>0</v>
      </c>
      <c r="H25" s="59">
        <f>SUMIFS(TechAssumptions!$J$16:$J$90, TechAssumptions!$C$16:$C$90, $C25, TechAssumptions!$D$16:$D$90, H$11)*1000</f>
        <v>1403341.8853974121</v>
      </c>
      <c r="I25" s="46">
        <f>SUMIFS(TechAssumptions!$K$16:$K$90, TechAssumptions!$C$16:$C$90, $C25, TechAssumptions!$D$16:$D$90, I$11)*1000</f>
        <v>1403341.8853974121</v>
      </c>
      <c r="J25" s="46">
        <f>SUMIFS(TechAssumptions!$L$16:$L$90, TechAssumptions!$C$16:$C$90, $C25, TechAssumptions!$D$16:$D$90, J$11)*1000</f>
        <v>1403341.8853974121</v>
      </c>
      <c r="K25" s="46">
        <f>(SUMIFS(TechAssumptions!$J$16:$J$90, TechAssumptions!$C$16:$C$90, $C25, TechAssumptions!$D$16:$D$90, K$11))*1000</f>
        <v>53977.541589648805</v>
      </c>
      <c r="L25" s="13">
        <f>SUMIFS(TechAssumptions!$J$16:$J$90, TechAssumptions!$C$16:$C$90, $C25, TechAssumptions!$D$16:$D$90, L$11)</f>
        <v>9.6454713493530519</v>
      </c>
      <c r="M25" s="13">
        <f>INDEX(TechAssumptions!$G$16:$G$90, MATCH(C25, TechAssumptions!$C$16:$C$90, 0))</f>
        <v>30</v>
      </c>
      <c r="N25" s="14">
        <f>INDEX(TechAssumptions!$H$16:$H$90, MATCH(C25, TechAssumptions!$C$16:$C$90, 0))</f>
        <v>0.1</v>
      </c>
      <c r="O25" s="58">
        <f>SUMIFS(DispatchVols_LG!$I:$I, DispatchVols_LG!$E:$E, $C25, DispatchVols_LG!$C:$C, O$12)</f>
        <v>3503.25</v>
      </c>
      <c r="P25" s="13">
        <f>SUMIFS(DispatchVols_LG!$I:$I, DispatchVols_LG!$E:$E, $C25, DispatchVols_LG!$C:$C, P$12)</f>
        <v>7003.8</v>
      </c>
      <c r="Q25" s="13">
        <f>SUMIFS(DispatchVols_LG!$I:$I, DispatchVols_LG!$E:$E, $C25, DispatchVols_LG!$C:$C, Q$12)</f>
        <v>0</v>
      </c>
      <c r="R25" s="58">
        <f t="shared" si="0"/>
        <v>631.50384842883557</v>
      </c>
      <c r="S25" s="13">
        <f t="shared" si="1"/>
        <v>1263.0076968576711</v>
      </c>
      <c r="T25" s="13">
        <f t="shared" si="2"/>
        <v>0</v>
      </c>
      <c r="U25" s="84">
        <f t="shared" si="3"/>
        <v>66.989453509976144</v>
      </c>
      <c r="V25" s="46">
        <f t="shared" si="4"/>
        <v>133.97890701995229</v>
      </c>
      <c r="W25" s="79">
        <f t="shared" si="5"/>
        <v>0</v>
      </c>
      <c r="X25" s="84">
        <f t="shared" si="17"/>
        <v>24.289893715341965</v>
      </c>
      <c r="Y25" s="46">
        <f t="shared" si="6"/>
        <v>48.579787430683929</v>
      </c>
      <c r="Z25" s="79">
        <f t="shared" si="7"/>
        <v>0</v>
      </c>
      <c r="AA25" s="46">
        <f>($K25*INDEX(DeployedCapacities!$D$7:$D$31, MATCH($C25, DeployedCapacities!$C$7:$C$31, 0)))/10^6</f>
        <v>0</v>
      </c>
      <c r="AB25" s="46">
        <f t="shared" si="8"/>
        <v>24.289893715341965</v>
      </c>
      <c r="AC25" s="46">
        <f t="shared" si="9"/>
        <v>48.579787430683929</v>
      </c>
      <c r="AD25" s="46">
        <f t="shared" si="10"/>
        <v>0</v>
      </c>
      <c r="AE25" s="84">
        <f t="shared" si="11"/>
        <v>33.790497504621079</v>
      </c>
      <c r="AF25" s="46">
        <f t="shared" si="12"/>
        <v>67.554952236598908</v>
      </c>
      <c r="AG25" s="79">
        <f t="shared" si="13"/>
        <v>0</v>
      </c>
      <c r="AH25" s="84">
        <f t="shared" si="14"/>
        <v>125.06984472993918</v>
      </c>
      <c r="AI25" s="46">
        <f t="shared" si="15"/>
        <v>250.11364668723513</v>
      </c>
      <c r="AJ25" s="46">
        <f t="shared" si="16"/>
        <v>0</v>
      </c>
    </row>
    <row r="26" spans="3:36">
      <c r="C26" t="s">
        <v>33</v>
      </c>
      <c r="D26" t="s">
        <v>413</v>
      </c>
      <c r="E26" s="59">
        <f>INDEX(DeployedCapacities!$D$73:$F$97, MATCH($C26, DeployedCapacities!$C$73:$C$97, 0), MATCH(E$12, DeployedCapacities!$D$71:$F$71, 0))</f>
        <v>0</v>
      </c>
      <c r="F26" s="46">
        <f>INDEX(DeployedCapacities!$D$73:$F$97, MATCH($C26, DeployedCapacities!$C$73:$C$97, 0), MATCH(F$12, DeployedCapacities!$D$71:$F$71, 0))</f>
        <v>1410</v>
      </c>
      <c r="G26" s="46">
        <f>INDEX(DeployedCapacities!$D$73:$F$97, MATCH($C26, DeployedCapacities!$C$73:$C$97, 0), MATCH(G$12, DeployedCapacities!$D$71:$F$71, 0))</f>
        <v>0</v>
      </c>
      <c r="H26" s="59">
        <f>SUMIFS(TechAssumptions!$J$16:$J$90, TechAssumptions!$C$16:$C$90, $C26, TechAssumptions!$D$16:$D$90, H$11)*1000</f>
        <v>2791798.0427326225</v>
      </c>
      <c r="I26" s="46">
        <f>SUMIFS(TechAssumptions!$K$16:$K$90, TechAssumptions!$C$16:$C$90, $C26, TechAssumptions!$D$16:$D$90, I$11)*1000</f>
        <v>2791798.0427326225</v>
      </c>
      <c r="J26" s="46">
        <f>SUMIFS(TechAssumptions!$L$16:$L$90, TechAssumptions!$C$16:$C$90, $C26, TechAssumptions!$D$16:$D$90, J$11)*1000</f>
        <v>2791798.0427326225</v>
      </c>
      <c r="K26" s="46">
        <f>(SUMIFS(TechAssumptions!$J$16:$J$90, TechAssumptions!$C$16:$C$90, $C26, TechAssumptions!$D$16:$D$90, K$11))*1000</f>
        <v>42989.818722352698</v>
      </c>
      <c r="L26" s="13">
        <f>SUMIFS(TechAssumptions!$J$16:$J$90, TechAssumptions!$C$16:$C$90, $C26, TechAssumptions!$D$16:$D$90, L$11)</f>
        <v>4.0545454545454547</v>
      </c>
      <c r="M26" s="13">
        <f>INDEX(TechAssumptions!$G$16:$G$90, MATCH(C26, TechAssumptions!$C$16:$C$90, 0))</f>
        <v>25</v>
      </c>
      <c r="N26" s="14">
        <f>INDEX(TechAssumptions!$H$16:$H$90, MATCH(C26, TechAssumptions!$C$16:$C$90, 0))</f>
        <v>0.09</v>
      </c>
      <c r="O26" s="58">
        <f>SUMIFS(DispatchVols_LG!$I:$I, DispatchVols_LG!$E:$E, $C26, DispatchVols_LG!$C:$C, O$12)</f>
        <v>0</v>
      </c>
      <c r="P26" s="13">
        <f>SUMIFS(DispatchVols_LG!$I:$I, DispatchVols_LG!$E:$E, $C26, DispatchVols_LG!$C:$C, P$12)</f>
        <v>4255.7700000000004</v>
      </c>
      <c r="Q26" s="13">
        <f>SUMIFS(DispatchVols_LG!$I:$I, DispatchVols_LG!$E:$E, $C26, DispatchVols_LG!$C:$C, Q$12)</f>
        <v>0</v>
      </c>
      <c r="R26" s="58">
        <f t="shared" si="0"/>
        <v>0</v>
      </c>
      <c r="S26" s="13">
        <f t="shared" si="1"/>
        <v>3936.435240252998</v>
      </c>
      <c r="T26" s="13">
        <f t="shared" si="2"/>
        <v>0</v>
      </c>
      <c r="U26" s="84">
        <f t="shared" si="3"/>
        <v>0</v>
      </c>
      <c r="V26" s="46">
        <f t="shared" si="4"/>
        <v>400.75371221933119</v>
      </c>
      <c r="W26" s="79">
        <f t="shared" si="5"/>
        <v>0</v>
      </c>
      <c r="X26" s="84">
        <f t="shared" si="17"/>
        <v>0</v>
      </c>
      <c r="Y26" s="46">
        <f t="shared" si="6"/>
        <v>60.615644398517304</v>
      </c>
      <c r="Z26" s="79">
        <f t="shared" si="7"/>
        <v>0</v>
      </c>
      <c r="AA26" s="46">
        <f>($K26*INDEX(DeployedCapacities!$D$7:$D$31, MATCH($C26, DeployedCapacities!$C$7:$C$31, 0)))/10^6</f>
        <v>0</v>
      </c>
      <c r="AB26" s="46">
        <f t="shared" si="8"/>
        <v>0</v>
      </c>
      <c r="AC26" s="46">
        <f t="shared" si="9"/>
        <v>60.615644398517304</v>
      </c>
      <c r="AD26" s="46">
        <f t="shared" si="10"/>
        <v>0</v>
      </c>
      <c r="AE26" s="84">
        <f t="shared" si="11"/>
        <v>0</v>
      </c>
      <c r="AF26" s="46">
        <f t="shared" si="12"/>
        <v>17.255212909090911</v>
      </c>
      <c r="AG26" s="79">
        <f t="shared" si="13"/>
        <v>0</v>
      </c>
      <c r="AH26" s="84">
        <f t="shared" si="14"/>
        <v>0</v>
      </c>
      <c r="AI26" s="46">
        <f t="shared" si="15"/>
        <v>478.62456952693941</v>
      </c>
      <c r="AJ26" s="46">
        <f t="shared" si="16"/>
        <v>0</v>
      </c>
    </row>
    <row r="27" spans="3:36">
      <c r="C27" t="s">
        <v>34</v>
      </c>
      <c r="D27" t="s">
        <v>410</v>
      </c>
      <c r="E27" s="59">
        <f>INDEX(DeployedCapacities!$D$73:$F$97, MATCH($C27, DeployedCapacities!$C$73:$C$97, 0), MATCH(E$12, DeployedCapacities!$D$71:$F$71, 0))</f>
        <v>1688.5000000000009</v>
      </c>
      <c r="F27" s="46">
        <f>INDEX(DeployedCapacities!$D$73:$F$97, MATCH($C27, DeployedCapacities!$C$73:$C$97, 0), MATCH(F$12, DeployedCapacities!$D$71:$F$71, 0))</f>
        <v>1688.5000000000009</v>
      </c>
      <c r="G27" s="46">
        <f>INDEX(DeployedCapacities!$D$73:$F$97, MATCH($C27, DeployedCapacities!$C$73:$C$97, 0), MATCH(G$12, DeployedCapacities!$D$71:$F$71, 0))</f>
        <v>3836.7900000000009</v>
      </c>
      <c r="H27" s="59">
        <f>SUMIFS(TechAssumptions!$J$16:$J$90, TechAssumptions!$C$16:$C$90, $C27, TechAssumptions!$D$16:$D$90, H$11)*1000</f>
        <v>619899.08256880729</v>
      </c>
      <c r="I27" s="46">
        <f>SUMIFS(TechAssumptions!$K$16:$K$90, TechAssumptions!$C$16:$C$90, $C27, TechAssumptions!$D$16:$D$90, I$11)*1000</f>
        <v>619899.08256880729</v>
      </c>
      <c r="J27" s="46">
        <f>SUMIFS(TechAssumptions!$L$16:$L$90, TechAssumptions!$C$16:$C$90, $C27, TechAssumptions!$D$16:$D$90, J$11)*1000</f>
        <v>619899.08256880729</v>
      </c>
      <c r="K27" s="46">
        <f>(SUMIFS(TechAssumptions!$J$16:$J$90, TechAssumptions!$C$16:$C$90, $C27, TechAssumptions!$D$16:$D$90, K$11))*1000</f>
        <v>15344.036697247706</v>
      </c>
      <c r="L27" s="13">
        <f>SUMIFS(TechAssumptions!$J$16:$J$90, TechAssumptions!$C$16:$C$90, $C27, TechAssumptions!$D$16:$D$90, L$11)</f>
        <v>0</v>
      </c>
      <c r="M27" s="13">
        <f>INDEX(TechAssumptions!$G$16:$G$90, MATCH(C27, TechAssumptions!$C$16:$C$90, 0))</f>
        <v>15</v>
      </c>
      <c r="N27" s="14">
        <f>INDEX(TechAssumptions!$H$16:$H$90, MATCH(C27, TechAssumptions!$C$16:$C$90, 0))</f>
        <v>7.0999999999999994E-2</v>
      </c>
      <c r="O27" s="58">
        <f>SUMIFS(DispatchVols_LG!$I:$I, DispatchVols_LG!$E:$E, $C27, DispatchVols_LG!$C:$C, O$12)</f>
        <v>0</v>
      </c>
      <c r="P27" s="13">
        <f>SUMIFS(DispatchVols_LG!$I:$I, DispatchVols_LG!$E:$E, $C27, DispatchVols_LG!$C:$C, P$12)</f>
        <v>0</v>
      </c>
      <c r="Q27" s="13">
        <f>SUMIFS(DispatchVols_LG!$I:$I, DispatchVols_LG!$E:$E, $C27, DispatchVols_LG!$C:$C, Q$12)</f>
        <v>57.28</v>
      </c>
      <c r="R27" s="58">
        <f t="shared" si="0"/>
        <v>1046.6996009174318</v>
      </c>
      <c r="S27" s="13">
        <f t="shared" si="1"/>
        <v>1046.6996009174318</v>
      </c>
      <c r="T27" s="13">
        <f t="shared" si="2"/>
        <v>2378.4226010091747</v>
      </c>
      <c r="U27" s="84">
        <f t="shared" si="3"/>
        <v>115.64891727325939</v>
      </c>
      <c r="V27" s="46">
        <f t="shared" si="4"/>
        <v>115.64891727325939</v>
      </c>
      <c r="W27" s="79">
        <f t="shared" si="5"/>
        <v>262.78981895461578</v>
      </c>
      <c r="X27" s="84">
        <f t="shared" si="17"/>
        <v>25.908405963302766</v>
      </c>
      <c r="Y27" s="46">
        <f t="shared" si="6"/>
        <v>25.908405963302766</v>
      </c>
      <c r="Z27" s="79">
        <f t="shared" si="7"/>
        <v>58.871846559633042</v>
      </c>
      <c r="AA27" s="46">
        <f>($K27*INDEX(DeployedCapacities!$D$7:$D$31, MATCH($C27, DeployedCapacities!$C$7:$C$31, 0)))/10^6</f>
        <v>36.221133027522932</v>
      </c>
      <c r="AB27" s="46">
        <f t="shared" si="8"/>
        <v>62.129538990825694</v>
      </c>
      <c r="AC27" s="46">
        <f t="shared" si="9"/>
        <v>62.129538990825694</v>
      </c>
      <c r="AD27" s="46">
        <f t="shared" si="10"/>
        <v>95.09297958715598</v>
      </c>
      <c r="AE27" s="84">
        <f t="shared" si="11"/>
        <v>0</v>
      </c>
      <c r="AF27" s="46">
        <f t="shared" si="12"/>
        <v>0</v>
      </c>
      <c r="AG27" s="79">
        <f t="shared" si="13"/>
        <v>0</v>
      </c>
      <c r="AH27" s="84">
        <f t="shared" si="14"/>
        <v>177.77845626408509</v>
      </c>
      <c r="AI27" s="46">
        <f t="shared" si="15"/>
        <v>177.77845626408509</v>
      </c>
      <c r="AJ27" s="46">
        <f t="shared" si="16"/>
        <v>357.88279854177176</v>
      </c>
    </row>
    <row r="28" spans="3:36">
      <c r="C28" t="s">
        <v>35</v>
      </c>
      <c r="D28" t="s">
        <v>410</v>
      </c>
      <c r="E28" s="59">
        <f>INDEX(DeployedCapacities!$D$73:$F$97, MATCH($C28, DeployedCapacities!$C$73:$C$97, 0), MATCH(E$12, DeployedCapacities!$D$71:$F$71, 0))</f>
        <v>1882.9999999999995</v>
      </c>
      <c r="F28" s="46">
        <f>INDEX(DeployedCapacities!$D$73:$F$97, MATCH($C28, DeployedCapacities!$C$73:$C$97, 0), MATCH(F$12, DeployedCapacities!$D$71:$F$71, 0))</f>
        <v>1882.9999999999995</v>
      </c>
      <c r="G28" s="46">
        <f>INDEX(DeployedCapacities!$D$73:$F$97, MATCH($C28, DeployedCapacities!$C$73:$C$97, 0), MATCH(G$12, DeployedCapacities!$D$71:$F$71, 0))</f>
        <v>1519</v>
      </c>
      <c r="H28" s="59">
        <f>SUMIFS(TechAssumptions!$J$16:$J$90, TechAssumptions!$C$16:$C$90, $C28, TechAssumptions!$D$16:$D$90, H$11)*1000</f>
        <v>426779.44887908408</v>
      </c>
      <c r="I28" s="46">
        <f>SUMIFS(TechAssumptions!$K$16:$K$90, TechAssumptions!$C$16:$C$90, $C28, TechAssumptions!$D$16:$D$90, I$11)*1000</f>
        <v>426779.44887908408</v>
      </c>
      <c r="J28" s="46">
        <f>SUMIFS(TechAssumptions!$L$16:$L$90, TechAssumptions!$C$16:$C$90, $C28, TechAssumptions!$D$16:$D$90, J$11)*1000</f>
        <v>426779.44887908408</v>
      </c>
      <c r="K28" s="46">
        <f>(SUMIFS(TechAssumptions!$J$16:$J$90, TechAssumptions!$C$16:$C$90, $C28, TechAssumptions!$D$16:$D$90, K$11))*1000</f>
        <v>7978.899082568807</v>
      </c>
      <c r="L28" s="13">
        <f>SUMIFS(TechAssumptions!$J$16:$J$90, TechAssumptions!$C$16:$C$90, $C28, TechAssumptions!$D$16:$D$90, L$11)</f>
        <v>1.2275229357798165</v>
      </c>
      <c r="M28" s="13">
        <f>INDEX(TechAssumptions!$G$16:$G$90, MATCH(C28, TechAssumptions!$C$16:$C$90, 0))</f>
        <v>25</v>
      </c>
      <c r="N28" s="14">
        <f>INDEX(TechAssumptions!$H$16:$H$90, MATCH(C28, TechAssumptions!$C$16:$C$90, 0))</f>
        <v>7.0999999999999994E-2</v>
      </c>
      <c r="O28" s="58">
        <f>SUMIFS(DispatchVols_LG!$I:$I, DispatchVols_LG!$E:$E, $C28, DispatchVols_LG!$C:$C, O$12)</f>
        <v>185.47</v>
      </c>
      <c r="P28" s="13">
        <f>SUMIFS(DispatchVols_LG!$I:$I, DispatchVols_LG!$E:$E, $C28, DispatchVols_LG!$C:$C, P$12)</f>
        <v>214.41</v>
      </c>
      <c r="Q28" s="13">
        <f>SUMIFS(DispatchVols_LG!$I:$I, DispatchVols_LG!$E:$E, $C28, DispatchVols_LG!$C:$C, Q$12)</f>
        <v>476.01</v>
      </c>
      <c r="R28" s="58">
        <f t="shared" si="0"/>
        <v>803.62570223931516</v>
      </c>
      <c r="S28" s="13">
        <f t="shared" si="1"/>
        <v>803.62570223931516</v>
      </c>
      <c r="T28" s="13">
        <f t="shared" si="2"/>
        <v>648.27798284732876</v>
      </c>
      <c r="U28" s="84">
        <f t="shared" si="3"/>
        <v>69.581899209199292</v>
      </c>
      <c r="V28" s="46">
        <f t="shared" si="4"/>
        <v>69.581899209199292</v>
      </c>
      <c r="W28" s="79">
        <f t="shared" si="5"/>
        <v>56.131123153889419</v>
      </c>
      <c r="X28" s="84">
        <f t="shared" si="17"/>
        <v>15.02426697247706</v>
      </c>
      <c r="Y28" s="46">
        <f t="shared" si="6"/>
        <v>15.02426697247706</v>
      </c>
      <c r="Z28" s="79">
        <f t="shared" si="7"/>
        <v>12.119947706422018</v>
      </c>
      <c r="AA28" s="46">
        <f>($K28*INDEX(DeployedCapacities!$D$7:$D$31, MATCH($C28, DeployedCapacities!$C$7:$C$31, 0)))/10^6</f>
        <v>17.185670944954126</v>
      </c>
      <c r="AB28" s="46">
        <f t="shared" si="8"/>
        <v>32.209937917431184</v>
      </c>
      <c r="AC28" s="46">
        <f t="shared" si="9"/>
        <v>32.209937917431184</v>
      </c>
      <c r="AD28" s="46">
        <f t="shared" si="10"/>
        <v>29.305618651376143</v>
      </c>
      <c r="AE28" s="84">
        <f t="shared" si="11"/>
        <v>0.2276686788990826</v>
      </c>
      <c r="AF28" s="46">
        <f t="shared" si="12"/>
        <v>0.26319319266055047</v>
      </c>
      <c r="AG28" s="79">
        <f t="shared" si="13"/>
        <v>0.58431319266055048</v>
      </c>
      <c r="AH28" s="84">
        <f t="shared" si="14"/>
        <v>102.01950580552956</v>
      </c>
      <c r="AI28" s="46">
        <f t="shared" si="15"/>
        <v>102.05503031929103</v>
      </c>
      <c r="AJ28" s="46">
        <f t="shared" si="16"/>
        <v>86.021054997926115</v>
      </c>
    </row>
    <row r="29" spans="3:36">
      <c r="C29" t="s">
        <v>36</v>
      </c>
      <c r="D29" t="s">
        <v>410</v>
      </c>
      <c r="E29" s="59">
        <f>INDEX(DeployedCapacities!$D$73:$F$97, MATCH($C29, DeployedCapacities!$C$73:$C$97, 0), MATCH(E$12, DeployedCapacities!$D$71:$F$71, 0))</f>
        <v>0</v>
      </c>
      <c r="F29" s="46">
        <f>INDEX(DeployedCapacities!$D$73:$F$97, MATCH($C29, DeployedCapacities!$C$73:$C$97, 0), MATCH(F$12, DeployedCapacities!$D$71:$F$71, 0))</f>
        <v>0</v>
      </c>
      <c r="G29" s="46">
        <f>INDEX(DeployedCapacities!$D$73:$F$97, MATCH($C29, DeployedCapacities!$C$73:$C$97, 0), MATCH(G$12, DeployedCapacities!$D$71:$F$71, 0))</f>
        <v>0</v>
      </c>
      <c r="H29" s="59">
        <f>SUMIFS(TechAssumptions!$J$16:$J$90, TechAssumptions!$C$16:$C$90, $C29, TechAssumptions!$D$16:$D$90, H$11)*1000</f>
        <v>426779.44887908408</v>
      </c>
      <c r="I29" s="46">
        <f>SUMIFS(TechAssumptions!$K$16:$K$90, TechAssumptions!$C$16:$C$90, $C29, TechAssumptions!$D$16:$D$90, I$11)*1000</f>
        <v>426779.44887908408</v>
      </c>
      <c r="J29" s="46">
        <f>SUMIFS(TechAssumptions!$L$16:$L$90, TechAssumptions!$C$16:$C$90, $C29, TechAssumptions!$D$16:$D$90, J$11)*1000</f>
        <v>426779.44887908408</v>
      </c>
      <c r="K29" s="46">
        <f>(SUMIFS(TechAssumptions!$J$16:$J$90, TechAssumptions!$C$16:$C$90, $C29, TechAssumptions!$D$16:$D$90, K$11))*1000</f>
        <v>7978.899082568807</v>
      </c>
      <c r="L29" s="13">
        <f>SUMIFS(TechAssumptions!$J$16:$J$90, TechAssumptions!$C$16:$C$90, $C29, TechAssumptions!$D$16:$D$90, L$11)</f>
        <v>1.2275229357798165</v>
      </c>
      <c r="M29" s="13">
        <f>INDEX(TechAssumptions!$G$16:$G$90, MATCH(C29, TechAssumptions!$C$16:$C$90, 0))</f>
        <v>25</v>
      </c>
      <c r="N29" s="14">
        <f>INDEX(TechAssumptions!$H$16:$H$90, MATCH(C29, TechAssumptions!$C$16:$C$90, 0))</f>
        <v>7.0999999999999994E-2</v>
      </c>
      <c r="O29" s="58">
        <f>SUMIFS(DispatchVols_LG!$I:$I, DispatchVols_LG!$E:$E, $C29, DispatchVols_LG!$C:$C, O$12)</f>
        <v>11097.59</v>
      </c>
      <c r="P29" s="13">
        <f>SUMIFS(DispatchVols_LG!$I:$I, DispatchVols_LG!$E:$E, $C29, DispatchVols_LG!$C:$C, P$12)</f>
        <v>11097.59</v>
      </c>
      <c r="Q29" s="13">
        <f>SUMIFS(DispatchVols_LG!$I:$I, DispatchVols_LG!$E:$E, $C29, DispatchVols_LG!$C:$C, Q$12)</f>
        <v>11143.84</v>
      </c>
      <c r="R29" s="58">
        <f t="shared" si="0"/>
        <v>0</v>
      </c>
      <c r="S29" s="13">
        <f t="shared" si="1"/>
        <v>0</v>
      </c>
      <c r="T29" s="13">
        <f t="shared" si="2"/>
        <v>0</v>
      </c>
      <c r="U29" s="84">
        <f t="shared" si="3"/>
        <v>0</v>
      </c>
      <c r="V29" s="46">
        <f t="shared" si="4"/>
        <v>0</v>
      </c>
      <c r="W29" s="79">
        <f t="shared" si="5"/>
        <v>0</v>
      </c>
      <c r="X29" s="84">
        <f t="shared" si="17"/>
        <v>0</v>
      </c>
      <c r="Y29" s="46">
        <f t="shared" si="6"/>
        <v>0</v>
      </c>
      <c r="Z29" s="79">
        <f t="shared" si="7"/>
        <v>0</v>
      </c>
      <c r="AA29" s="46">
        <f>($K29*INDEX(DeployedCapacities!$D$7:$D$31, MATCH($C29, DeployedCapacities!$C$7:$C$31, 0)))/10^6</f>
        <v>18.341733633027523</v>
      </c>
      <c r="AB29" s="46">
        <f t="shared" si="8"/>
        <v>18.341733633027523</v>
      </c>
      <c r="AC29" s="46">
        <f t="shared" si="9"/>
        <v>18.341733633027523</v>
      </c>
      <c r="AD29" s="46">
        <f t="shared" si="10"/>
        <v>18.341733633027523</v>
      </c>
      <c r="AE29" s="84">
        <f t="shared" si="11"/>
        <v>13.622546256880735</v>
      </c>
      <c r="AF29" s="46">
        <f t="shared" si="12"/>
        <v>13.622546256880735</v>
      </c>
      <c r="AG29" s="79">
        <f t="shared" si="13"/>
        <v>13.679319192660552</v>
      </c>
      <c r="AH29" s="84">
        <f t="shared" si="14"/>
        <v>31.964279889908259</v>
      </c>
      <c r="AI29" s="46">
        <f t="shared" si="15"/>
        <v>31.964279889908259</v>
      </c>
      <c r="AJ29" s="46">
        <f t="shared" si="16"/>
        <v>32.021052825688074</v>
      </c>
    </row>
    <row r="30" spans="3:36">
      <c r="C30" t="s">
        <v>37</v>
      </c>
      <c r="D30" t="s">
        <v>412</v>
      </c>
      <c r="E30" s="59">
        <f>INDEX(DeployedCapacities!$D$73:$F$97, MATCH($C30, DeployedCapacities!$C$73:$C$97, 0), MATCH(E$12, DeployedCapacities!$D$71:$F$71, 0))</f>
        <v>34946.490000000005</v>
      </c>
      <c r="F30" s="46">
        <f>INDEX(DeployedCapacities!$D$73:$F$97, MATCH($C30, DeployedCapacities!$C$73:$C$97, 0), MATCH(F$12, DeployedCapacities!$D$71:$F$71, 0))</f>
        <v>27416.489999999998</v>
      </c>
      <c r="G30" s="46">
        <f>INDEX(DeployedCapacities!$D$73:$F$97, MATCH($C30, DeployedCapacities!$C$73:$C$97, 0), MATCH(G$12, DeployedCapacities!$D$71:$F$71, 0))</f>
        <v>12877.999999999998</v>
      </c>
      <c r="H30" s="59">
        <f>SUMIFS(TechAssumptions!$J$16:$J$90, TechAssumptions!$C$16:$C$90, $C30, TechAssumptions!$D$16:$D$90, H$11)*1000</f>
        <v>2722154.8623853214</v>
      </c>
      <c r="I30" s="46">
        <f>SUMIFS(TechAssumptions!$K$16:$K$90, TechAssumptions!$C$16:$C$90, $C30, TechAssumptions!$D$16:$D$90, I$11)*1000</f>
        <v>2387488.712450326</v>
      </c>
      <c r="J30" s="46">
        <f>SUMIFS(TechAssumptions!$L$16:$L$90, TechAssumptions!$C$16:$C$90, $C30, TechAssumptions!$D$16:$D$90, J$11)*1000</f>
        <v>3541227.3695233944</v>
      </c>
      <c r="K30" s="46">
        <f>(SUMIFS(TechAssumptions!$J$16:$J$90, TechAssumptions!$C$16:$C$90, $C30, TechAssumptions!$D$16:$D$90, K$11))*1000</f>
        <v>56834.3119266055</v>
      </c>
      <c r="L30" s="13">
        <f>SUMIFS(TechAssumptions!$J$16:$J$90, TechAssumptions!$C$16:$C$90, $C30, TechAssumptions!$D$16:$D$90, L$11)</f>
        <v>1.2275229357798165</v>
      </c>
      <c r="M30" s="13">
        <f>INDEX(TechAssumptions!$G$16:$G$90, MATCH(C30, TechAssumptions!$C$16:$C$90, 0))</f>
        <v>30</v>
      </c>
      <c r="N30" s="14">
        <f>INDEX(TechAssumptions!$H$16:$H$90, MATCH(C30, TechAssumptions!$C$16:$C$90, 0))</f>
        <v>6.3E-2</v>
      </c>
      <c r="O30" s="58">
        <f>SUMIFS(DispatchVols_LG!$I:$I, DispatchVols_LG!$E:$E, $C30, DispatchVols_LG!$C:$C, O$12)</f>
        <v>157403.29999999999</v>
      </c>
      <c r="P30" s="13">
        <f>SUMIFS(DispatchVols_LG!$I:$I, DispatchVols_LG!$E:$E, $C30, DispatchVols_LG!$C:$C, P$12)</f>
        <v>147012.54</v>
      </c>
      <c r="Q30" s="13">
        <f>SUMIFS(DispatchVols_LG!$I:$I, DispatchVols_LG!$E:$E, $C30, DispatchVols_LG!$C:$C, Q$12)</f>
        <v>109649.33</v>
      </c>
      <c r="R30" s="58">
        <f t="shared" si="0"/>
        <v>95129.757676800014</v>
      </c>
      <c r="S30" s="13">
        <f t="shared" si="1"/>
        <v>74631.931563038524</v>
      </c>
      <c r="T30" s="13">
        <f t="shared" si="2"/>
        <v>35055.910317798167</v>
      </c>
      <c r="U30" s="84">
        <f t="shared" si="3"/>
        <v>7134.3629042006178</v>
      </c>
      <c r="V30" s="46">
        <f t="shared" si="4"/>
        <v>5597.1054380393325</v>
      </c>
      <c r="W30" s="79">
        <f t="shared" si="5"/>
        <v>2629.0573239342643</v>
      </c>
      <c r="X30" s="84">
        <f t="shared" si="17"/>
        <v>1986.1597134000001</v>
      </c>
      <c r="Y30" s="46">
        <f t="shared" si="6"/>
        <v>1558.1973445926603</v>
      </c>
      <c r="Z30" s="79">
        <f t="shared" si="7"/>
        <v>731.91226899082551</v>
      </c>
      <c r="AA30" s="46">
        <f>($K30*INDEX(DeployedCapacities!$D$7:$D$31, MATCH($C30, DeployedCapacities!$C$7:$C$31, 0)))/10^6</f>
        <v>892.44646645871558</v>
      </c>
      <c r="AB30" s="46">
        <f t="shared" si="8"/>
        <v>2878.6061798587157</v>
      </c>
      <c r="AC30" s="46">
        <f t="shared" si="9"/>
        <v>2450.6438110513759</v>
      </c>
      <c r="AD30" s="46">
        <f t="shared" si="10"/>
        <v>1624.3587354495412</v>
      </c>
      <c r="AE30" s="84">
        <f t="shared" si="11"/>
        <v>193.21616091743121</v>
      </c>
      <c r="AF30" s="46">
        <f t="shared" si="12"/>
        <v>180.46126469724774</v>
      </c>
      <c r="AG30" s="79">
        <f t="shared" si="13"/>
        <v>134.59706746788993</v>
      </c>
      <c r="AH30" s="84">
        <f t="shared" si="14"/>
        <v>10206.185244976765</v>
      </c>
      <c r="AI30" s="46">
        <f t="shared" si="15"/>
        <v>8228.2105137879571</v>
      </c>
      <c r="AJ30" s="46">
        <f t="shared" si="16"/>
        <v>4388.0131268516952</v>
      </c>
    </row>
    <row r="31" spans="3:36">
      <c r="C31" t="s">
        <v>38</v>
      </c>
      <c r="D31" t="s">
        <v>412</v>
      </c>
      <c r="E31" s="59">
        <f>INDEX(DeployedCapacities!$D$73:$F$97, MATCH($C31, DeployedCapacities!$C$73:$C$97, 0), MATCH(E$12, DeployedCapacities!$D$71:$F$71, 0))</f>
        <v>13662.150000000003</v>
      </c>
      <c r="F31" s="46">
        <f>INDEX(DeployedCapacities!$D$73:$F$97, MATCH($C31, DeployedCapacities!$C$73:$C$97, 0), MATCH(F$12, DeployedCapacities!$D$71:$F$71, 0))</f>
        <v>13664.290000000003</v>
      </c>
      <c r="G31" s="46">
        <f>INDEX(DeployedCapacities!$D$73:$F$97, MATCH($C31, DeployedCapacities!$C$73:$C$97, 0), MATCH(G$12, DeployedCapacities!$D$71:$F$71, 0))</f>
        <v>6660.7600000000039</v>
      </c>
      <c r="H31" s="59">
        <f>SUMIFS(TechAssumptions!$J$16:$J$90, TechAssumptions!$C$16:$C$90, $C31, TechAssumptions!$D$16:$D$90, H$11)*1000</f>
        <v>2004930.2001180323</v>
      </c>
      <c r="I31" s="46">
        <f>SUMIFS(TechAssumptions!$K$16:$K$90, TechAssumptions!$C$16:$C$90, $C31, TechAssumptions!$D$16:$D$90, I$11)*1000</f>
        <v>1664476.5749017978</v>
      </c>
      <c r="J31" s="46">
        <f>SUMIFS(TechAssumptions!$L$16:$L$90, TechAssumptions!$C$16:$C$90, $C31, TechAssumptions!$D$16:$D$90, J$11)*1000</f>
        <v>2185646.3409678461</v>
      </c>
      <c r="K31" s="46">
        <f>(SUMIFS(TechAssumptions!$J$16:$J$90, TechAssumptions!$C$16:$C$90, $C31, TechAssumptions!$D$16:$D$90, K$11))*1000</f>
        <v>33265.871559633029</v>
      </c>
      <c r="L31" s="13">
        <f>SUMIFS(TechAssumptions!$J$16:$J$90, TechAssumptions!$C$16:$C$90, $C31, TechAssumptions!$D$16:$D$90, L$11)</f>
        <v>7.3651376146788987</v>
      </c>
      <c r="M31" s="13">
        <f>INDEX(TechAssumptions!$G$16:$G$90, MATCH(C31, TechAssumptions!$C$16:$C$90, 0))</f>
        <v>25</v>
      </c>
      <c r="N31" s="14">
        <f>INDEX(TechAssumptions!$H$16:$H$90, MATCH(C31, TechAssumptions!$C$16:$C$90, 0))</f>
        <v>5.1999999999999998E-2</v>
      </c>
      <c r="O31" s="58">
        <f>SUMIFS(DispatchVols_LG!$I:$I, DispatchVols_LG!$E:$E, $C31, DispatchVols_LG!$C:$C, O$12)</f>
        <v>56389.43</v>
      </c>
      <c r="P31" s="13">
        <f>SUMIFS(DispatchVols_LG!$I:$I, DispatchVols_LG!$E:$E, $C31, DispatchVols_LG!$C:$C, P$12)</f>
        <v>53580.3</v>
      </c>
      <c r="Q31" s="13">
        <f>SUMIFS(DispatchVols_LG!$I:$I, DispatchVols_LG!$E:$E, $C31, DispatchVols_LG!$C:$C, Q$12)</f>
        <v>50191.18</v>
      </c>
      <c r="R31" s="58">
        <f t="shared" si="0"/>
        <v>27391.65713354258</v>
      </c>
      <c r="S31" s="13">
        <f t="shared" si="1"/>
        <v>27395.947684170835</v>
      </c>
      <c r="T31" s="13">
        <f t="shared" si="2"/>
        <v>13354.358879738191</v>
      </c>
      <c r="U31" s="84">
        <f t="shared" si="3"/>
        <v>1982.6455452859022</v>
      </c>
      <c r="V31" s="46">
        <f t="shared" si="4"/>
        <v>1982.9561011989113</v>
      </c>
      <c r="W31" s="79">
        <f t="shared" si="5"/>
        <v>966.60673043543875</v>
      </c>
      <c r="X31" s="84">
        <f t="shared" si="17"/>
        <v>454.48332712844052</v>
      </c>
      <c r="Y31" s="46">
        <f t="shared" si="6"/>
        <v>454.55451609357812</v>
      </c>
      <c r="Z31" s="79">
        <f t="shared" si="7"/>
        <v>221.57598664954145</v>
      </c>
      <c r="AA31" s="46">
        <f>($K31*INDEX(DeployedCapacities!$D$7:$D$31, MATCH($C31, DeployedCapacities!$C$7:$C$31, 0)))/10^6</f>
        <v>454.55252014128433</v>
      </c>
      <c r="AB31" s="46">
        <f t="shared" si="8"/>
        <v>909.03584726972485</v>
      </c>
      <c r="AC31" s="46">
        <f t="shared" si="9"/>
        <v>909.10703623486245</v>
      </c>
      <c r="AD31" s="46">
        <f t="shared" si="10"/>
        <v>676.12850679082578</v>
      </c>
      <c r="AE31" s="84">
        <f t="shared" si="11"/>
        <v>415.31591196330271</v>
      </c>
      <c r="AF31" s="46">
        <f t="shared" si="12"/>
        <v>394.62628293577978</v>
      </c>
      <c r="AG31" s="79">
        <f t="shared" si="13"/>
        <v>369.66494774311923</v>
      </c>
      <c r="AH31" s="84">
        <f t="shared" si="14"/>
        <v>3306.9973045189299</v>
      </c>
      <c r="AI31" s="46">
        <f t="shared" si="15"/>
        <v>3286.6894203695533</v>
      </c>
      <c r="AJ31" s="46">
        <f t="shared" si="16"/>
        <v>2012.4001849693836</v>
      </c>
    </row>
    <row r="32" spans="3:36">
      <c r="C32" t="s">
        <v>39</v>
      </c>
      <c r="D32" t="s">
        <v>414</v>
      </c>
      <c r="E32" s="59">
        <f>INDEX(DeployedCapacities!$D$73:$F$97, MATCH($C32, DeployedCapacities!$C$73:$C$97, 0), MATCH(E$12, DeployedCapacities!$D$71:$F$71, 0))</f>
        <v>2655.8999999999996</v>
      </c>
      <c r="F32" s="46">
        <f>INDEX(DeployedCapacities!$D$73:$F$97, MATCH($C32, DeployedCapacities!$C$73:$C$97, 0), MATCH(F$12, DeployedCapacities!$D$71:$F$71, 0))</f>
        <v>1371.8999999999996</v>
      </c>
      <c r="G32" s="46">
        <f>INDEX(DeployedCapacities!$D$73:$F$97, MATCH($C32, DeployedCapacities!$C$73:$C$97, 0), MATCH(G$12, DeployedCapacities!$D$71:$F$71, 0))</f>
        <v>0</v>
      </c>
      <c r="H32" s="59">
        <f>SUMIFS(TechAssumptions!$J$16:$J$90, TechAssumptions!$C$16:$C$90, $C32, TechAssumptions!$D$16:$D$90, H$11)*1000</f>
        <v>1461888.8888888892</v>
      </c>
      <c r="I32" s="46">
        <f>SUMIFS(TechAssumptions!$K$16:$K$90, TechAssumptions!$C$16:$C$90, $C32, TechAssumptions!$D$16:$D$90, I$11)*1000</f>
        <v>1461888.8888888892</v>
      </c>
      <c r="J32" s="46">
        <f>SUMIFS(TechAssumptions!$L$16:$L$90, TechAssumptions!$C$16:$C$90, $C32, TechAssumptions!$D$16:$D$90, J$11)*1000</f>
        <v>1461888.8888888892</v>
      </c>
      <c r="K32" s="46">
        <f>(SUMIFS(TechAssumptions!$J$16:$J$90, TechAssumptions!$C$16:$C$90, $C32, TechAssumptions!$D$16:$D$90, K$11))*1000</f>
        <v>15143.032585956289</v>
      </c>
      <c r="L32" s="13">
        <f>SUMIFS(TechAssumptions!$J$16:$J$90, TechAssumptions!$C$16:$C$90, $C32, TechAssumptions!$D$16:$D$90, L$11)</f>
        <v>56.763636363636365</v>
      </c>
      <c r="M32" s="13">
        <f>INDEX(TechAssumptions!$G$16:$G$90, MATCH(C32, TechAssumptions!$C$16:$C$90, 0))</f>
        <v>50</v>
      </c>
      <c r="N32" s="14">
        <f>INDEX(TechAssumptions!$H$16:$H$90, MATCH(C32, TechAssumptions!$C$16:$C$90, 0))</f>
        <v>7.4999999999999997E-2</v>
      </c>
      <c r="O32" s="58">
        <f>SUMIFS(DispatchVols_LG!$I:$I, DispatchVols_LG!$E:$E, $C32, DispatchVols_LG!$C:$C, O$12)</f>
        <v>8457.5499999999993</v>
      </c>
      <c r="P32" s="13">
        <f>SUMIFS(DispatchVols_LG!$I:$I, DispatchVols_LG!$E:$E, $C32, DispatchVols_LG!$C:$C, P$12)</f>
        <v>5376.72</v>
      </c>
      <c r="Q32" s="13">
        <f>SUMIFS(DispatchVols_LG!$I:$I, DispatchVols_LG!$E:$E, $C32, DispatchVols_LG!$C:$C, Q$12)</f>
        <v>1643.37</v>
      </c>
      <c r="R32" s="58">
        <f t="shared" si="0"/>
        <v>3882.6307000000006</v>
      </c>
      <c r="S32" s="13">
        <f t="shared" si="1"/>
        <v>2005.5653666666665</v>
      </c>
      <c r="T32" s="13">
        <f t="shared" si="2"/>
        <v>0</v>
      </c>
      <c r="U32" s="84">
        <f t="shared" si="3"/>
        <v>299.2437060929534</v>
      </c>
      <c r="V32" s="46">
        <f t="shared" si="4"/>
        <v>154.5737566884757</v>
      </c>
      <c r="W32" s="79">
        <f t="shared" si="5"/>
        <v>0</v>
      </c>
      <c r="X32" s="84">
        <f t="shared" si="17"/>
        <v>40.218380245041303</v>
      </c>
      <c r="Y32" s="46">
        <f t="shared" si="6"/>
        <v>20.774726404673427</v>
      </c>
      <c r="Z32" s="79">
        <f t="shared" si="7"/>
        <v>0</v>
      </c>
      <c r="AA32" s="46">
        <f>($K32*INDEX(DeployedCapacities!$D$7:$D$31, MATCH($C32, DeployedCapacities!$C$7:$C$31, 0)))/10^6</f>
        <v>41.552481415864058</v>
      </c>
      <c r="AB32" s="46">
        <f t="shared" si="8"/>
        <v>81.770861660905354</v>
      </c>
      <c r="AC32" s="46">
        <f t="shared" si="9"/>
        <v>62.327207820537481</v>
      </c>
      <c r="AD32" s="46">
        <f t="shared" si="10"/>
        <v>41.552481415864058</v>
      </c>
      <c r="AE32" s="84">
        <f t="shared" si="11"/>
        <v>480.08129272727274</v>
      </c>
      <c r="AF32" s="46">
        <f t="shared" si="12"/>
        <v>305.20217890909095</v>
      </c>
      <c r="AG32" s="79">
        <f t="shared" si="13"/>
        <v>93.283657090909088</v>
      </c>
      <c r="AH32" s="84">
        <f t="shared" si="14"/>
        <v>861.09586048113147</v>
      </c>
      <c r="AI32" s="46">
        <f t="shared" si="15"/>
        <v>522.10314341810408</v>
      </c>
      <c r="AJ32" s="46">
        <f t="shared" si="16"/>
        <v>134.83613850677315</v>
      </c>
    </row>
    <row r="33" spans="3:39">
      <c r="C33" t="s">
        <v>40</v>
      </c>
      <c r="D33" t="s">
        <v>414</v>
      </c>
      <c r="E33" s="59">
        <f>INDEX(DeployedCapacities!$D$73:$F$97, MATCH($C33, DeployedCapacities!$C$73:$C$97, 0), MATCH(E$12, DeployedCapacities!$D$71:$F$71, 0))</f>
        <v>6.4600000000000364</v>
      </c>
      <c r="F33" s="46">
        <f>INDEX(DeployedCapacities!$D$73:$F$97, MATCH($C33, DeployedCapacities!$C$73:$C$97, 0), MATCH(F$12, DeployedCapacities!$D$71:$F$71, 0))</f>
        <v>6.4600000000000364</v>
      </c>
      <c r="G33" s="46">
        <f>INDEX(DeployedCapacities!$D$73:$F$97, MATCH($C33, DeployedCapacities!$C$73:$C$97, 0), MATCH(G$12, DeployedCapacities!$D$71:$F$71, 0))</f>
        <v>6.4600000000000364</v>
      </c>
      <c r="H33" s="59">
        <f>SUMIFS(TechAssumptions!$J$16:$J$90, TechAssumptions!$C$16:$C$90, $C33, TechAssumptions!$D$16:$D$90, H$11)*1000</f>
        <v>4615486.2385321101</v>
      </c>
      <c r="I33" s="46">
        <f>SUMIFS(TechAssumptions!$K$16:$K$90, TechAssumptions!$C$16:$C$90, $C33, TechAssumptions!$D$16:$D$90, I$11)*1000</f>
        <v>4615486.2385321101</v>
      </c>
      <c r="J33" s="46">
        <f>SUMIFS(TechAssumptions!$L$16:$L$90, TechAssumptions!$C$16:$C$90, $C33, TechAssumptions!$D$16:$D$90, J$11)*1000</f>
        <v>4615486.2385321101</v>
      </c>
      <c r="K33" s="46">
        <f>(SUMIFS(TechAssumptions!$J$16:$J$90, TechAssumptions!$C$16:$C$90, $C33, TechAssumptions!$D$16:$D$90, K$11))*1000</f>
        <v>37316.697247706419</v>
      </c>
      <c r="L33" s="13">
        <f>SUMIFS(TechAssumptions!$J$16:$J$90, TechAssumptions!$C$16:$C$90, $C33, TechAssumptions!$D$16:$D$90, L$11)</f>
        <v>8.5926605504587155</v>
      </c>
      <c r="M33" s="13">
        <f>INDEX(TechAssumptions!$G$16:$G$90, MATCH(C33, TechAssumptions!$C$16:$C$90, 0))</f>
        <v>41</v>
      </c>
      <c r="N33" s="14">
        <f>INDEX(TechAssumptions!$H$16:$H$90, MATCH(C33, TechAssumptions!$C$16:$C$90, 0))</f>
        <v>5.3999999999999999E-2</v>
      </c>
      <c r="O33" s="58">
        <f>SUMIFS(DispatchVols_LG!$I:$I, DispatchVols_LG!$E:$E, $C33, DispatchVols_LG!$C:$C, O$12)</f>
        <v>751.12</v>
      </c>
      <c r="P33" s="13">
        <f>SUMIFS(DispatchVols_LG!$I:$I, DispatchVols_LG!$E:$E, $C33, DispatchVols_LG!$C:$C, P$12)</f>
        <v>751.12</v>
      </c>
      <c r="Q33" s="13">
        <f>SUMIFS(DispatchVols_LG!$I:$I, DispatchVols_LG!$E:$E, $C33, DispatchVols_LG!$C:$C, Q$12)</f>
        <v>751.12</v>
      </c>
      <c r="R33" s="58">
        <f t="shared" si="0"/>
        <v>29.816041100917602</v>
      </c>
      <c r="S33" s="13">
        <f t="shared" si="1"/>
        <v>29.816041100917602</v>
      </c>
      <c r="T33" s="13">
        <f t="shared" si="2"/>
        <v>29.816041100917602</v>
      </c>
      <c r="U33" s="84">
        <f t="shared" si="3"/>
        <v>1.8208345960608634</v>
      </c>
      <c r="V33" s="46">
        <f t="shared" si="4"/>
        <v>1.8208345960608634</v>
      </c>
      <c r="W33" s="79">
        <f t="shared" si="5"/>
        <v>1.8208345960608634</v>
      </c>
      <c r="X33" s="84">
        <f t="shared" si="17"/>
        <v>0.24106586422018483</v>
      </c>
      <c r="Y33" s="46">
        <f t="shared" si="6"/>
        <v>0.24106586422018483</v>
      </c>
      <c r="Z33" s="79">
        <f t="shared" si="7"/>
        <v>0.24106586422018483</v>
      </c>
      <c r="AA33" s="46">
        <f>($K33*INDEX(DeployedCapacities!$D$7:$D$31, MATCH($C33, DeployedCapacities!$C$7:$C$31, 0)))/10^6</f>
        <v>50.287981211009168</v>
      </c>
      <c r="AB33" s="46">
        <f t="shared" si="8"/>
        <v>50.52904707522935</v>
      </c>
      <c r="AC33" s="46">
        <f t="shared" si="9"/>
        <v>50.52904707522935</v>
      </c>
      <c r="AD33" s="46">
        <f t="shared" si="10"/>
        <v>50.52904707522935</v>
      </c>
      <c r="AE33" s="84">
        <f t="shared" si="11"/>
        <v>6.4541191926605492</v>
      </c>
      <c r="AF33" s="46">
        <f t="shared" si="12"/>
        <v>6.4541191926605492</v>
      </c>
      <c r="AG33" s="79">
        <f t="shared" si="13"/>
        <v>6.4541191926605492</v>
      </c>
      <c r="AH33" s="84">
        <f t="shared" si="14"/>
        <v>58.804000863950769</v>
      </c>
      <c r="AI33" s="46">
        <f t="shared" si="15"/>
        <v>58.804000863950769</v>
      </c>
      <c r="AJ33" s="46">
        <f t="shared" si="16"/>
        <v>58.804000863950769</v>
      </c>
    </row>
    <row r="34" spans="3:39">
      <c r="C34" t="s">
        <v>41</v>
      </c>
      <c r="D34" t="s">
        <v>414</v>
      </c>
      <c r="E34" s="59">
        <f>INDEX(DeployedCapacities!$D$73:$F$97, MATCH($C34, DeployedCapacities!$C$73:$C$97, 0), MATCH(E$12, DeployedCapacities!$D$71:$F$71, 0))</f>
        <v>23.719999999999914</v>
      </c>
      <c r="F34" s="46">
        <f>INDEX(DeployedCapacities!$D$73:$F$97, MATCH($C34, DeployedCapacities!$C$73:$C$97, 0), MATCH(F$12, DeployedCapacities!$D$71:$F$71, 0))</f>
        <v>23.719999999999914</v>
      </c>
      <c r="G34" s="46">
        <f>INDEX(DeployedCapacities!$D$73:$F$97, MATCH($C34, DeployedCapacities!$C$73:$C$97, 0), MATCH(G$12, DeployedCapacities!$D$71:$F$71, 0))</f>
        <v>6.0999999999999091</v>
      </c>
      <c r="H34" s="59">
        <f>SUMIFS(TechAssumptions!$J$16:$J$90, TechAssumptions!$C$16:$C$90, $C34, TechAssumptions!$D$16:$D$90, H$11)*1000</f>
        <v>3633467.8899082569</v>
      </c>
      <c r="I34" s="46">
        <f>SUMIFS(TechAssumptions!$K$16:$K$90, TechAssumptions!$C$16:$C$90, $C34, TechAssumptions!$D$16:$D$90, I$11)*1000</f>
        <v>1953251.5246327624</v>
      </c>
      <c r="J34" s="46">
        <f>SUMIFS(TechAssumptions!$L$16:$L$90, TechAssumptions!$C$16:$C$90, $C34, TechAssumptions!$D$16:$D$90, J$11)*1000</f>
        <v>3738481.4127379754</v>
      </c>
      <c r="K34" s="46">
        <f>(SUMIFS(TechAssumptions!$J$16:$J$90, TechAssumptions!$C$16:$C$90, $C34, TechAssumptions!$D$16:$D$90, K$11))*1000</f>
        <v>63217.431192660551</v>
      </c>
      <c r="L34" s="13">
        <f>SUMIFS(TechAssumptions!$J$16:$J$90, TechAssumptions!$C$16:$C$90, $C34, TechAssumptions!$D$16:$D$90, L$11)</f>
        <v>4.9100917431192661</v>
      </c>
      <c r="M34" s="13">
        <f>INDEX(TechAssumptions!$G$16:$G$90, MATCH(C34, TechAssumptions!$C$16:$C$90, 0))</f>
        <v>41</v>
      </c>
      <c r="N34" s="14">
        <f>INDEX(TechAssumptions!$H$16:$H$90, MATCH(C34, TechAssumptions!$C$16:$C$90, 0))</f>
        <v>5.3999999999999999E-2</v>
      </c>
      <c r="O34" s="58">
        <f>SUMIFS(DispatchVols_LG!$I:$I, DispatchVols_LG!$E:$E, $C34, DispatchVols_LG!$C:$C, O$12)</f>
        <v>2776.48</v>
      </c>
      <c r="P34" s="13">
        <f>SUMIFS(DispatchVols_LG!$I:$I, DispatchVols_LG!$E:$E, $C34, DispatchVols_LG!$C:$C, P$12)</f>
        <v>2811.49</v>
      </c>
      <c r="Q34" s="13">
        <f>SUMIFS(DispatchVols_LG!$I:$I, DispatchVols_LG!$E:$E, $C34, DispatchVols_LG!$C:$C, Q$12)</f>
        <v>2747.15</v>
      </c>
      <c r="R34" s="58">
        <f t="shared" si="0"/>
        <v>86.18585834862354</v>
      </c>
      <c r="S34" s="13">
        <f t="shared" si="1"/>
        <v>86.18585834862354</v>
      </c>
      <c r="T34" s="13">
        <f t="shared" si="2"/>
        <v>22.164154128440039</v>
      </c>
      <c r="U34" s="84">
        <f t="shared" si="3"/>
        <v>5.263280662956463</v>
      </c>
      <c r="V34" s="46">
        <f t="shared" si="4"/>
        <v>5.263280662956463</v>
      </c>
      <c r="W34" s="79">
        <f t="shared" si="5"/>
        <v>1.3535418231043028</v>
      </c>
      <c r="X34" s="84">
        <f t="shared" si="17"/>
        <v>1.4995174678899028</v>
      </c>
      <c r="Y34" s="46">
        <f t="shared" si="6"/>
        <v>1.4995174678899028</v>
      </c>
      <c r="Z34" s="79">
        <f t="shared" si="7"/>
        <v>0.38562633027522358</v>
      </c>
      <c r="AA34" s="46">
        <f>($K34*INDEX(DeployedCapacities!$D$7:$D$31, MATCH($C34, DeployedCapacities!$C$7:$C$31, 0)))/10^6</f>
        <v>32.84335202752294</v>
      </c>
      <c r="AB34" s="46">
        <f t="shared" si="8"/>
        <v>34.342869495412842</v>
      </c>
      <c r="AC34" s="46">
        <f t="shared" si="9"/>
        <v>34.342869495412842</v>
      </c>
      <c r="AD34" s="46">
        <f t="shared" si="10"/>
        <v>33.228978357798162</v>
      </c>
      <c r="AE34" s="84">
        <f t="shared" si="11"/>
        <v>13.632771522935782</v>
      </c>
      <c r="AF34" s="46">
        <f t="shared" si="12"/>
        <v>13.804673834862385</v>
      </c>
      <c r="AG34" s="79">
        <f t="shared" si="13"/>
        <v>13.488758532110094</v>
      </c>
      <c r="AH34" s="84">
        <f t="shared" si="14"/>
        <v>53.238921681305087</v>
      </c>
      <c r="AI34" s="46">
        <f t="shared" si="15"/>
        <v>53.410823993231688</v>
      </c>
      <c r="AJ34" s="46">
        <f t="shared" si="16"/>
        <v>48.071278713012561</v>
      </c>
    </row>
    <row r="35" spans="3:39">
      <c r="C35" t="s">
        <v>42</v>
      </c>
      <c r="D35" t="s">
        <v>410</v>
      </c>
      <c r="E35" s="59">
        <f>INDEX(DeployedCapacities!$D$73:$F$97, MATCH($C35, DeployedCapacities!$C$73:$C$97, 0), MATCH(E$12, DeployedCapacities!$D$71:$F$71, 0))</f>
        <v>0</v>
      </c>
      <c r="F35" s="46">
        <f>INDEX(DeployedCapacities!$D$73:$F$97, MATCH($C35, DeployedCapacities!$C$73:$C$97, 0), MATCH(F$12, DeployedCapacities!$D$71:$F$71, 0))</f>
        <v>0</v>
      </c>
      <c r="G35" s="46">
        <f>INDEX(DeployedCapacities!$D$73:$F$97, MATCH($C35, DeployedCapacities!$C$73:$C$97, 0), MATCH(G$12, DeployedCapacities!$D$71:$F$71, 0))</f>
        <v>0</v>
      </c>
      <c r="H35" s="59">
        <f>SUMIFS(TechAssumptions!$J$16:$J$90, TechAssumptions!$C$16:$C$90, $C35, TechAssumptions!$D$16:$D$90, H$11)*1000</f>
        <v>619899.08256880729</v>
      </c>
      <c r="I35" s="46">
        <f>SUMIFS(TechAssumptions!$K$16:$K$90, TechAssumptions!$C$16:$C$90, $C35, TechAssumptions!$D$16:$D$90, I$11)*1000</f>
        <v>619899.08256880729</v>
      </c>
      <c r="J35" s="46">
        <f>SUMIFS(TechAssumptions!$L$16:$L$90, TechAssumptions!$C$16:$C$90, $C35, TechAssumptions!$D$16:$D$90, J$11)*1000</f>
        <v>619899.08256880729</v>
      </c>
      <c r="K35" s="46">
        <f>(SUMIFS(TechAssumptions!$J$16:$J$90, TechAssumptions!$C$16:$C$90, $C35, TechAssumptions!$D$16:$D$90, K$11))*1000</f>
        <v>15344.036697247706</v>
      </c>
      <c r="L35" s="13">
        <f>SUMIFS(TechAssumptions!$J$16:$J$90, TechAssumptions!$C$16:$C$90, $C35, TechAssumptions!$D$16:$D$90, L$11)</f>
        <v>0</v>
      </c>
      <c r="M35" s="13">
        <f>INDEX(TechAssumptions!$G$16:$G$90, MATCH(C35, TechAssumptions!$C$16:$C$90, 0))</f>
        <v>15</v>
      </c>
      <c r="N35" s="14">
        <f>INDEX(TechAssumptions!$H$16:$H$90, MATCH(C35, TechAssumptions!$C$16:$C$90, 0))</f>
        <v>7.0999999999999994E-2</v>
      </c>
      <c r="O35" s="58">
        <f>SUMIFS(DispatchVols_LG!$I:$I, DispatchVols_LG!$E:$E, $C35, DispatchVols_LG!$C:$C, O$12)</f>
        <v>0</v>
      </c>
      <c r="P35" s="13">
        <f>SUMIFS(DispatchVols_LG!$I:$I, DispatchVols_LG!$E:$E, $C35, DispatchVols_LG!$C:$C, P$12)</f>
        <v>0</v>
      </c>
      <c r="Q35" s="13">
        <f>SUMIFS(DispatchVols_LG!$I:$I, DispatchVols_LG!$E:$E, $C35, DispatchVols_LG!$C:$C, Q$12)</f>
        <v>0</v>
      </c>
      <c r="R35" s="58">
        <f t="shared" si="0"/>
        <v>0</v>
      </c>
      <c r="S35" s="13">
        <f t="shared" si="1"/>
        <v>0</v>
      </c>
      <c r="T35" s="13">
        <f t="shared" si="2"/>
        <v>0</v>
      </c>
      <c r="U35" s="84">
        <f t="shared" si="3"/>
        <v>0</v>
      </c>
      <c r="V35" s="46">
        <f t="shared" si="4"/>
        <v>0</v>
      </c>
      <c r="W35" s="79">
        <f t="shared" si="5"/>
        <v>0</v>
      </c>
      <c r="X35" s="84">
        <f t="shared" si="17"/>
        <v>0</v>
      </c>
      <c r="Y35" s="46">
        <f t="shared" si="6"/>
        <v>0</v>
      </c>
      <c r="Z35" s="79">
        <f t="shared" si="7"/>
        <v>0</v>
      </c>
      <c r="AA35" s="46">
        <f>($K35*INDEX(DeployedCapacities!$D$7:$D$31, MATCH($C35, DeployedCapacities!$C$7:$C$31, 0)))/10^6</f>
        <v>1.6540871559633026</v>
      </c>
      <c r="AB35" s="46">
        <f t="shared" si="8"/>
        <v>1.6540871559633026</v>
      </c>
      <c r="AC35" s="46">
        <f t="shared" si="9"/>
        <v>1.6540871559633026</v>
      </c>
      <c r="AD35" s="46">
        <f t="shared" si="10"/>
        <v>1.6540871559633026</v>
      </c>
      <c r="AE35" s="84">
        <f t="shared" si="11"/>
        <v>0</v>
      </c>
      <c r="AF35" s="46">
        <f t="shared" si="12"/>
        <v>0</v>
      </c>
      <c r="AG35" s="79">
        <f t="shared" si="13"/>
        <v>0</v>
      </c>
      <c r="AH35" s="84">
        <f t="shared" si="14"/>
        <v>1.6540871559633026</v>
      </c>
      <c r="AI35" s="46">
        <f t="shared" si="15"/>
        <v>1.6540871559633026</v>
      </c>
      <c r="AJ35" s="46">
        <f t="shared" si="16"/>
        <v>1.6540871559633026</v>
      </c>
    </row>
    <row r="36" spans="3:39">
      <c r="C36" t="s">
        <v>43</v>
      </c>
      <c r="D36" t="s">
        <v>412</v>
      </c>
      <c r="E36" s="59">
        <f>INDEX(DeployedCapacities!$D$73:$F$97, MATCH($C36, DeployedCapacities!$C$73:$C$97, 0), MATCH(E$12, DeployedCapacities!$D$71:$F$71, 0))</f>
        <v>205.60000000000005</v>
      </c>
      <c r="F36" s="46">
        <f>INDEX(DeployedCapacities!$D$73:$F$97, MATCH($C36, DeployedCapacities!$C$73:$C$97, 0), MATCH(F$12, DeployedCapacities!$D$71:$F$71, 0))</f>
        <v>205.60000000000005</v>
      </c>
      <c r="G36" s="46">
        <f>INDEX(DeployedCapacities!$D$73:$F$97, MATCH($C36, DeployedCapacities!$C$73:$C$97, 0), MATCH(G$12, DeployedCapacities!$D$71:$F$71, 0))</f>
        <v>13.100000000000001</v>
      </c>
      <c r="H36" s="59">
        <f>SUMIFS(TechAssumptions!$J$16:$J$90, TechAssumptions!$C$16:$C$90, $C36, TechAssumptions!$D$16:$D$90, H$11)*1000</f>
        <v>6567247.7064220188</v>
      </c>
      <c r="I36" s="46">
        <f>SUMIFS(TechAssumptions!$K$16:$K$90, TechAssumptions!$C$16:$C$90, $C36, TechAssumptions!$D$16:$D$90, I$11)*1000</f>
        <v>6221603.0902945427</v>
      </c>
      <c r="J36" s="46">
        <f>SUMIFS(TechAssumptions!$L$16:$L$90, TechAssumptions!$C$16:$C$90, $C36, TechAssumptions!$D$16:$D$90, J$11)*1000</f>
        <v>7085714.6306132311</v>
      </c>
      <c r="K36" s="46">
        <f>(SUMIFS(TechAssumptions!$J$16:$J$90, TechAssumptions!$C$16:$C$90, $C36, TechAssumptions!$D$16:$D$90, K$11))*1000</f>
        <v>172344.22018348624</v>
      </c>
      <c r="L36" s="13">
        <f>SUMIFS(TechAssumptions!$J$16:$J$90, TechAssumptions!$C$16:$C$90, $C36, TechAssumptions!$D$16:$D$90, L$11)</f>
        <v>0</v>
      </c>
      <c r="M36" s="13">
        <f>INDEX(TechAssumptions!$G$16:$G$90, MATCH(C36, TechAssumptions!$C$16:$C$90, 0))</f>
        <v>25</v>
      </c>
      <c r="N36" s="14">
        <f>INDEX(TechAssumptions!$H$16:$H$90, MATCH(C36, TechAssumptions!$C$16:$C$90, 0))</f>
        <v>9.4E-2</v>
      </c>
      <c r="O36" s="58">
        <f>SUMIFS(DispatchVols_LG!$I:$I, DispatchVols_LG!$E:$E, $C36, DispatchVols_LG!$C:$C, O$12)</f>
        <v>395.58</v>
      </c>
      <c r="P36" s="13">
        <f>SUMIFS(DispatchVols_LG!$I:$I, DispatchVols_LG!$E:$E, $C36, DispatchVols_LG!$C:$C, P$12)</f>
        <v>411.74</v>
      </c>
      <c r="Q36" s="13">
        <f>SUMIFS(DispatchVols_LG!$I:$I, DispatchVols_LG!$E:$E, $C36, DispatchVols_LG!$C:$C, Q$12)</f>
        <v>103.24</v>
      </c>
      <c r="R36" s="58">
        <f t="shared" si="0"/>
        <v>1350.2261284403673</v>
      </c>
      <c r="S36" s="13">
        <f t="shared" si="1"/>
        <v>1350.2261284403673</v>
      </c>
      <c r="T36" s="13">
        <f t="shared" si="2"/>
        <v>86.030944954128458</v>
      </c>
      <c r="U36" s="84">
        <f t="shared" si="3"/>
        <v>141.94147504804747</v>
      </c>
      <c r="V36" s="46">
        <f t="shared" si="4"/>
        <v>141.94147504804747</v>
      </c>
      <c r="W36" s="79">
        <f t="shared" si="5"/>
        <v>9.043936396543879</v>
      </c>
      <c r="X36" s="84">
        <f t="shared" si="17"/>
        <v>35.433971669724777</v>
      </c>
      <c r="Y36" s="46">
        <f t="shared" si="6"/>
        <v>35.433971669724777</v>
      </c>
      <c r="Z36" s="79">
        <f t="shared" si="7"/>
        <v>2.2577092844036701</v>
      </c>
      <c r="AA36" s="46">
        <f>($K36*INDEX(DeployedCapacities!$D$7:$D$31, MATCH($C36, DeployedCapacities!$C$7:$C$31, 0)))/10^6</f>
        <v>8.4035041761467877</v>
      </c>
      <c r="AB36" s="46">
        <f t="shared" si="8"/>
        <v>43.837475845871566</v>
      </c>
      <c r="AC36" s="46">
        <f t="shared" si="9"/>
        <v>43.837475845871566</v>
      </c>
      <c r="AD36" s="46">
        <f t="shared" si="10"/>
        <v>10.661213460550458</v>
      </c>
      <c r="AE36" s="84">
        <f t="shared" si="11"/>
        <v>0</v>
      </c>
      <c r="AF36" s="46">
        <f t="shared" si="12"/>
        <v>0</v>
      </c>
      <c r="AG36" s="79">
        <f t="shared" si="13"/>
        <v>0</v>
      </c>
      <c r="AH36" s="84">
        <f t="shared" si="14"/>
        <v>185.77895089391902</v>
      </c>
      <c r="AI36" s="46">
        <f t="shared" si="15"/>
        <v>185.77895089391902</v>
      </c>
      <c r="AJ36" s="46">
        <f t="shared" si="16"/>
        <v>19.705149857094337</v>
      </c>
    </row>
    <row r="37" spans="3:39">
      <c r="C37" t="s">
        <v>44</v>
      </c>
      <c r="D37" t="s">
        <v>413</v>
      </c>
      <c r="E37" s="59">
        <f>INDEX(DeployedCapacities!$D$73:$F$97, MATCH($C37, DeployedCapacities!$C$73:$C$97, 0), MATCH(E$12, DeployedCapacities!$D$71:$F$71, 0))</f>
        <v>129.65</v>
      </c>
      <c r="F37" s="46">
        <f>INDEX(DeployedCapacities!$D$73:$F$97, MATCH($C37, DeployedCapacities!$C$73:$C$97, 0), MATCH(F$12, DeployedCapacities!$D$71:$F$71, 0))</f>
        <v>129.65</v>
      </c>
      <c r="G37" s="46">
        <f>INDEX(DeployedCapacities!$D$73:$F$97, MATCH($C37, DeployedCapacities!$C$73:$C$97, 0), MATCH(G$12, DeployedCapacities!$D$71:$F$71, 0))</f>
        <v>0</v>
      </c>
      <c r="H37" s="59">
        <f>SUMIFS(TechAssumptions!$J$16:$J$90, TechAssumptions!$C$16:$C$90, $C37, TechAssumptions!$D$16:$D$90, H$11)*1000</f>
        <v>619899.08256880729</v>
      </c>
      <c r="I37" s="46">
        <f>SUMIFS(TechAssumptions!$K$16:$K$90, TechAssumptions!$C$16:$C$90, $C37, TechAssumptions!$D$16:$D$90, I$11)*1000</f>
        <v>619899.08256880729</v>
      </c>
      <c r="J37" s="46">
        <f>SUMIFS(TechAssumptions!$L$16:$L$90, TechAssumptions!$C$16:$C$90, $C37, TechAssumptions!$D$16:$D$90, J$11)*1000</f>
        <v>619899.08256880729</v>
      </c>
      <c r="K37" s="46">
        <f>(SUMIFS(TechAssumptions!$J$16:$J$90, TechAssumptions!$C$16:$C$90, $C37, TechAssumptions!$D$16:$D$90, K$11))*1000</f>
        <v>15344.036697247706</v>
      </c>
      <c r="L37" s="13">
        <f>SUMIFS(TechAssumptions!$J$16:$J$90, TechAssumptions!$C$16:$C$90, $C37, TechAssumptions!$D$16:$D$90, L$11)</f>
        <v>0</v>
      </c>
      <c r="M37" s="13">
        <f>INDEX(TechAssumptions!$G$16:$G$90, MATCH(C37, TechAssumptions!$C$16:$C$90, 0))</f>
        <v>15</v>
      </c>
      <c r="N37" s="14">
        <f>INDEX(TechAssumptions!$H$16:$H$90, MATCH(C37, TechAssumptions!$C$16:$C$90, 0))</f>
        <v>7.0999999999999994E-2</v>
      </c>
      <c r="O37" s="58">
        <f>SUMIFS(DispatchVols_LG!$I:$I, DispatchVols_LG!$E:$E, $C37, DispatchVols_LG!$C:$C, O$12)</f>
        <v>114.4</v>
      </c>
      <c r="P37" s="13">
        <f>SUMIFS(DispatchVols_LG!$I:$I, DispatchVols_LG!$E:$E, $C37, DispatchVols_LG!$C:$C, P$12)</f>
        <v>50.41</v>
      </c>
      <c r="Q37" s="13">
        <f>SUMIFS(DispatchVols_LG!$I:$I, DispatchVols_LG!$E:$E, $C37, DispatchVols_LG!$C:$C, Q$12)</f>
        <v>0</v>
      </c>
      <c r="R37" s="58">
        <f t="shared" si="0"/>
        <v>80.369916055045877</v>
      </c>
      <c r="S37" s="13">
        <f t="shared" si="1"/>
        <v>80.369916055045877</v>
      </c>
      <c r="T37" s="13">
        <f t="shared" si="2"/>
        <v>0</v>
      </c>
      <c r="U37" s="84">
        <f t="shared" si="3"/>
        <v>8.8800012582043664</v>
      </c>
      <c r="V37" s="46">
        <f t="shared" si="4"/>
        <v>8.8800012582043664</v>
      </c>
      <c r="W37" s="79">
        <f t="shared" si="5"/>
        <v>0</v>
      </c>
      <c r="X37" s="84">
        <f t="shared" si="17"/>
        <v>1.9893543577981652</v>
      </c>
      <c r="Y37" s="46">
        <f t="shared" si="6"/>
        <v>1.9893543577981652</v>
      </c>
      <c r="Z37" s="79">
        <f t="shared" si="7"/>
        <v>0</v>
      </c>
      <c r="AA37" s="46">
        <f>($K37*INDEX(DeployedCapacities!$D$7:$D$31, MATCH($C37, DeployedCapacities!$C$7:$C$31, 0)))/10^6</f>
        <v>0</v>
      </c>
      <c r="AB37" s="46">
        <f t="shared" si="8"/>
        <v>1.9893543577981652</v>
      </c>
      <c r="AC37" s="46">
        <f t="shared" si="9"/>
        <v>1.9893543577981652</v>
      </c>
      <c r="AD37" s="46">
        <f t="shared" si="10"/>
        <v>0</v>
      </c>
      <c r="AE37" s="84">
        <f t="shared" si="11"/>
        <v>0</v>
      </c>
      <c r="AF37" s="46">
        <f t="shared" si="12"/>
        <v>0</v>
      </c>
      <c r="AG37" s="79">
        <f t="shared" si="13"/>
        <v>0</v>
      </c>
      <c r="AH37" s="84">
        <f t="shared" si="14"/>
        <v>10.869355616002531</v>
      </c>
      <c r="AI37" s="46">
        <f t="shared" si="15"/>
        <v>10.869355616002531</v>
      </c>
      <c r="AJ37" s="46">
        <f t="shared" si="16"/>
        <v>0</v>
      </c>
    </row>
    <row r="38" spans="3:39">
      <c r="C38" t="s">
        <v>204</v>
      </c>
      <c r="D38" t="s">
        <v>414</v>
      </c>
      <c r="E38" s="59">
        <f>INDEX(DeployedCapacities!$D$73:$F$97, MATCH($C38, DeployedCapacities!$C$73:$C$97, 0), MATCH(E$12, DeployedCapacities!$D$71:$F$71, 0))</f>
        <v>25255.089999999997</v>
      </c>
      <c r="F38" s="46">
        <f>INDEX(DeployedCapacities!$D$73:$F$97, MATCH($C38, DeployedCapacities!$C$73:$C$97, 0), MATCH(F$12, DeployedCapacities!$D$71:$F$71, 0))</f>
        <v>23255.089999999997</v>
      </c>
      <c r="G38" s="46">
        <f>INDEX(DeployedCapacities!$D$73:$F$97, MATCH($C38, DeployedCapacities!$C$73:$C$97, 0), MATCH(G$12, DeployedCapacities!$D$71:$F$71, 0))</f>
        <v>14736.65</v>
      </c>
      <c r="H38" s="59">
        <f>SUMIFS(TechAssumptions!$J$16:$J$90, TechAssumptions!$C$16:$C$90, $C38, TechAssumptions!$D$16:$D$90, H$11)*1000</f>
        <v>812648.54864385934</v>
      </c>
      <c r="I38" s="46">
        <f>SUMIFS(TechAssumptions!$K$16:$K$90, TechAssumptions!$C$16:$C$90, $C38, TechAssumptions!$D$16:$D$90, I$11)*1000</f>
        <v>812648.54864385934</v>
      </c>
      <c r="J38" s="46">
        <f>SUMIFS(TechAssumptions!$L$16:$L$90, TechAssumptions!$C$16:$C$90, $C38, TechAssumptions!$D$16:$D$90, J$11)*1000</f>
        <v>812648.54864385934</v>
      </c>
      <c r="K38" s="46">
        <f>(SUMIFS(TechAssumptions!$J$16:$J$90, TechAssumptions!$C$16:$C$90, $C38, TechAssumptions!$D$16:$D$90, K$11))*1000</f>
        <v>8274.1014799154327</v>
      </c>
      <c r="L38" s="13">
        <f>SUMIFS(TechAssumptions!$J$16:$J$90, TechAssumptions!$C$16:$C$90, $C38, TechAssumptions!$D$16:$D$90, L$11)</f>
        <v>0</v>
      </c>
      <c r="M38" s="13">
        <f>INDEX(TechAssumptions!$G$16:$G$90, MATCH(C38, TechAssumptions!$C$16:$C$90, 0))</f>
        <v>15</v>
      </c>
      <c r="N38" s="14">
        <f>INDEX(TechAssumptions!$H$16:$H$90, MATCH(C38, TechAssumptions!$C$16:$C$90, 0))</f>
        <v>0.08</v>
      </c>
      <c r="O38" s="58">
        <f>SUMIFS(DispatchVols_LG!$I:$I, DispatchVols_LG!$E:$E, $C38, DispatchVols_LG!$C:$C, O$12)</f>
        <v>0</v>
      </c>
      <c r="P38" s="13">
        <f>SUMIFS(DispatchVols_LG!$I:$I, DispatchVols_LG!$E:$E, $C38, DispatchVols_LG!$C:$C, P$12)</f>
        <v>0</v>
      </c>
      <c r="Q38" s="13">
        <f>SUMIFS(DispatchVols_LG!$I:$I, DispatchVols_LG!$E:$E, $C38, DispatchVols_LG!$C:$C, Q$12)</f>
        <v>0</v>
      </c>
      <c r="R38" s="58">
        <f t="shared" si="0"/>
        <v>20523.512234370042</v>
      </c>
      <c r="S38" s="13">
        <f t="shared" si="1"/>
        <v>18898.215137082327</v>
      </c>
      <c r="T38" s="13">
        <f t="shared" si="2"/>
        <v>11975.717234372531</v>
      </c>
      <c r="U38" s="84">
        <f t="shared" si="3"/>
        <v>2397.7525948302919</v>
      </c>
      <c r="V38" s="46">
        <f t="shared" si="4"/>
        <v>2207.8698745683337</v>
      </c>
      <c r="W38" s="79">
        <f t="shared" si="5"/>
        <v>1399.1175947741951</v>
      </c>
      <c r="X38" s="84">
        <f t="shared" si="17"/>
        <v>208.96317754439741</v>
      </c>
      <c r="Y38" s="46">
        <f t="shared" si="6"/>
        <v>192.41497458456655</v>
      </c>
      <c r="Z38" s="79">
        <f t="shared" si="7"/>
        <v>121.93253757399576</v>
      </c>
      <c r="AA38" s="46">
        <f>($K38*INDEX(DeployedCapacities!$D$7:$D$31, MATCH($C38, DeployedCapacities!$C$7:$C$31, 0)))/10^6</f>
        <v>37.94792532241015</v>
      </c>
      <c r="AB38" s="46">
        <f t="shared" si="8"/>
        <v>246.91110286680757</v>
      </c>
      <c r="AC38" s="46">
        <f t="shared" si="9"/>
        <v>230.36289990697671</v>
      </c>
      <c r="AD38" s="46">
        <f t="shared" si="10"/>
        <v>159.8804628964059</v>
      </c>
      <c r="AE38" s="84">
        <f t="shared" si="11"/>
        <v>0</v>
      </c>
      <c r="AF38" s="46">
        <f t="shared" si="12"/>
        <v>0</v>
      </c>
      <c r="AG38" s="79">
        <f t="shared" si="13"/>
        <v>0</v>
      </c>
      <c r="AH38" s="84">
        <f t="shared" si="14"/>
        <v>2644.6636976970995</v>
      </c>
      <c r="AI38" s="46">
        <f t="shared" si="15"/>
        <v>2438.2327744753106</v>
      </c>
      <c r="AJ38" s="46">
        <f t="shared" si="16"/>
        <v>1558.9980576706009</v>
      </c>
    </row>
    <row r="39" spans="3:39">
      <c r="C39" t="s">
        <v>217</v>
      </c>
      <c r="D39" t="s">
        <v>414</v>
      </c>
      <c r="E39" s="59">
        <f>INDEX(DeployedCapacities!$D$73:$F$97, MATCH($C39, DeployedCapacities!$C$73:$C$97, 0), MATCH(E$12, DeployedCapacities!$D$71:$F$71, 0))</f>
        <v>4050</v>
      </c>
      <c r="F39" s="46">
        <f>INDEX(DeployedCapacities!$D$73:$F$97, MATCH($C39, DeployedCapacities!$C$73:$C$97, 0), MATCH(F$12, DeployedCapacities!$D$71:$F$71, 0))</f>
        <v>4050</v>
      </c>
      <c r="G39" s="46">
        <f>INDEX(DeployedCapacities!$D$73:$F$97, MATCH($C39, DeployedCapacities!$C$73:$C$97, 0), MATCH(G$12, DeployedCapacities!$D$71:$F$71, 0))</f>
        <v>3300</v>
      </c>
      <c r="H39" s="59">
        <f>SUMIFS(TechAssumptions!$J$16:$J$90, TechAssumptions!$C$16:$C$90, $C39, TechAssumptions!$D$16:$D$90, H$11)*1000</f>
        <v>1753175.2139346895</v>
      </c>
      <c r="I39" s="46">
        <f>SUMIFS(TechAssumptions!$K$16:$K$90, TechAssumptions!$C$16:$C$90, $C39, TechAssumptions!$D$16:$D$90, I$11)*1000</f>
        <v>1753175.2139346895</v>
      </c>
      <c r="J39" s="46">
        <f>SUMIFS(TechAssumptions!$L$16:$L$90, TechAssumptions!$C$16:$C$90, $C39, TechAssumptions!$D$16:$D$90, J$11)*1000</f>
        <v>1753175.2139346895</v>
      </c>
      <c r="K39" s="46">
        <f>(SUMIFS(TechAssumptions!$J$16:$J$90, TechAssumptions!$C$16:$C$90, $C39, TechAssumptions!$D$16:$D$90, K$11))*1000</f>
        <v>50000</v>
      </c>
      <c r="L39" s="13">
        <f>SUMIFS(TechAssumptions!$J$16:$J$90, TechAssumptions!$C$16:$C$90, $C39, TechAssumptions!$D$16:$D$90, L$11)</f>
        <v>5</v>
      </c>
      <c r="M39" s="13">
        <f>INDEX(TechAssumptions!$G$16:$G$90, MATCH(C39, TechAssumptions!$C$16:$C$90, 0))</f>
        <v>25</v>
      </c>
      <c r="N39" s="14">
        <f>INDEX(TechAssumptions!$H$16:$H$90, MATCH(C39, TechAssumptions!$C$16:$C$90, 0))</f>
        <v>0.09</v>
      </c>
      <c r="O39" s="58">
        <f>SUMIFS(DispatchVols_LG!$I:$I, DispatchVols_LG!$E:$E, $C39, DispatchVols_LG!$C:$C, O$12)</f>
        <v>0</v>
      </c>
      <c r="P39" s="13">
        <f>SUMIFS(DispatchVols_LG!$I:$I, DispatchVols_LG!$E:$E, $C39, DispatchVols_LG!$C:$C, P$12)</f>
        <v>0</v>
      </c>
      <c r="Q39" s="13">
        <f>SUMIFS(DispatchVols_LG!$I:$I, DispatchVols_LG!$E:$E, $C39, DispatchVols_LG!$C:$C, Q$12)</f>
        <v>0</v>
      </c>
      <c r="R39" s="58">
        <f t="shared" si="0"/>
        <v>7100.3596164354922</v>
      </c>
      <c r="S39" s="13">
        <f t="shared" si="1"/>
        <v>7100.3596164354922</v>
      </c>
      <c r="T39" s="13">
        <f t="shared" si="2"/>
        <v>5785.4782059844747</v>
      </c>
      <c r="U39" s="84">
        <f t="shared" si="3"/>
        <v>722.86098988278229</v>
      </c>
      <c r="V39" s="46">
        <f t="shared" si="4"/>
        <v>722.86098988278229</v>
      </c>
      <c r="W39" s="79">
        <f t="shared" si="5"/>
        <v>588.99784360819297</v>
      </c>
      <c r="X39" s="84">
        <f t="shared" si="17"/>
        <v>202.5</v>
      </c>
      <c r="Y39" s="46">
        <f t="shared" si="6"/>
        <v>202.5</v>
      </c>
      <c r="Z39" s="79">
        <f t="shared" si="7"/>
        <v>165</v>
      </c>
      <c r="AA39" s="46">
        <f>($K39*INDEX(DeployedCapacities!$D$7:$D$31, MATCH($C39, DeployedCapacities!$C$7:$C$31, 0)))/10^6</f>
        <v>420</v>
      </c>
      <c r="AB39" s="46">
        <f t="shared" si="8"/>
        <v>622.5</v>
      </c>
      <c r="AC39" s="46">
        <f t="shared" si="9"/>
        <v>622.5</v>
      </c>
      <c r="AD39" s="46">
        <f t="shared" si="10"/>
        <v>585</v>
      </c>
      <c r="AE39" s="84">
        <f t="shared" si="11"/>
        <v>0</v>
      </c>
      <c r="AF39" s="46">
        <f t="shared" si="12"/>
        <v>0</v>
      </c>
      <c r="AG39" s="79">
        <f t="shared" si="13"/>
        <v>0</v>
      </c>
      <c r="AH39" s="84">
        <f t="shared" si="14"/>
        <v>1345.3609898827822</v>
      </c>
      <c r="AI39" s="46">
        <f t="shared" si="15"/>
        <v>1345.3609898827822</v>
      </c>
      <c r="AJ39" s="46">
        <f t="shared" si="16"/>
        <v>1173.9978436081929</v>
      </c>
    </row>
    <row r="40" spans="3:39">
      <c r="C40" s="68" t="s">
        <v>117</v>
      </c>
      <c r="D40" s="68"/>
      <c r="E40" s="69">
        <f>SUM(E15:E39)</f>
        <v>121313.58000000002</v>
      </c>
      <c r="F40" s="70">
        <f t="shared" ref="F40:G40" si="18">SUM(F15:F39)</f>
        <v>113359.72000000002</v>
      </c>
      <c r="G40" s="70">
        <f t="shared" si="18"/>
        <v>53807.473322099999</v>
      </c>
      <c r="H40" s="71"/>
      <c r="I40" s="32"/>
      <c r="J40" s="32"/>
      <c r="K40" s="32"/>
      <c r="L40" s="32"/>
      <c r="M40" s="32"/>
      <c r="N40" s="32"/>
      <c r="O40" s="71"/>
      <c r="P40" s="32"/>
      <c r="Q40" s="32"/>
      <c r="R40" s="70">
        <f>SUM(R15:R39)</f>
        <v>203989.08630637042</v>
      </c>
      <c r="S40" s="70">
        <f t="shared" ref="S40:T40" si="19">SUM(S15:S39)</f>
        <v>185451.90397010528</v>
      </c>
      <c r="T40" s="70">
        <f t="shared" si="19"/>
        <v>91029.160905703218</v>
      </c>
      <c r="U40" s="85">
        <f>SUM(U15:U39)</f>
        <v>16430.597227059941</v>
      </c>
      <c r="V40" s="70">
        <f t="shared" ref="V40:AJ40" si="20">SUM(V15:V39)</f>
        <v>15117.581438187666</v>
      </c>
      <c r="W40" s="80">
        <f t="shared" si="20"/>
        <v>7778.1421154634718</v>
      </c>
      <c r="X40" s="85">
        <f t="shared" si="20"/>
        <v>3744.1775860070493</v>
      </c>
      <c r="Y40" s="70">
        <f t="shared" si="20"/>
        <v>3387.6441168363062</v>
      </c>
      <c r="Z40" s="80">
        <f t="shared" si="20"/>
        <v>1728.2965683101402</v>
      </c>
      <c r="AA40" s="70">
        <f>SUM(AA15:AA39)</f>
        <v>4210.9887944479678</v>
      </c>
      <c r="AB40" s="70">
        <f t="shared" ref="AB40:AD40" si="21">SUM(AB15:AB39)</f>
        <v>7955.166380455018</v>
      </c>
      <c r="AC40" s="70">
        <f t="shared" si="21"/>
        <v>7598.632911284275</v>
      </c>
      <c r="AD40" s="70">
        <f t="shared" si="21"/>
        <v>5939.2853627581098</v>
      </c>
      <c r="AE40" s="85">
        <f t="shared" si="20"/>
        <v>1719.6779040556357</v>
      </c>
      <c r="AF40" s="70">
        <f t="shared" si="20"/>
        <v>1629.8381039079916</v>
      </c>
      <c r="AG40" s="80">
        <f t="shared" si="20"/>
        <v>1405.995764591604</v>
      </c>
      <c r="AH40" s="85">
        <f t="shared" si="20"/>
        <v>26105.441511570589</v>
      </c>
      <c r="AI40" s="70">
        <f t="shared" si="20"/>
        <v>24346.052453379925</v>
      </c>
      <c r="AJ40" s="70">
        <f t="shared" si="20"/>
        <v>15123.423242813182</v>
      </c>
    </row>
    <row r="41" spans="3:39">
      <c r="R41" s="14"/>
      <c r="S41" s="14"/>
      <c r="T41" s="14"/>
      <c r="U41" s="14"/>
    </row>
    <row r="42" spans="3:39">
      <c r="P42" s="16" t="s">
        <v>415</v>
      </c>
      <c r="S42" s="54" t="s">
        <v>397</v>
      </c>
      <c r="T42" s="51"/>
      <c r="U42" s="51"/>
      <c r="V42" s="51"/>
      <c r="W42" s="51"/>
      <c r="X42" s="51"/>
      <c r="Y42" s="16"/>
      <c r="Z42" s="16"/>
      <c r="AA42" s="16"/>
      <c r="AB42" s="16"/>
      <c r="AC42" s="16"/>
      <c r="AD42" s="16"/>
      <c r="AE42" s="16"/>
      <c r="AF42" s="16"/>
      <c r="AG42" s="16"/>
      <c r="AH42" s="50" t="s">
        <v>416</v>
      </c>
      <c r="AI42" s="50"/>
      <c r="AJ42" s="50"/>
    </row>
    <row r="43" spans="3:39">
      <c r="P43" s="46"/>
      <c r="Q43" s="46"/>
      <c r="R43" s="46"/>
      <c r="S43" s="55" t="s">
        <v>417</v>
      </c>
      <c r="T43" s="50"/>
      <c r="U43" s="50"/>
      <c r="V43" s="86" t="s">
        <v>418</v>
      </c>
      <c r="W43" s="50"/>
      <c r="X43" s="75"/>
      <c r="AH43" s="52" t="s">
        <v>19</v>
      </c>
      <c r="AI43" s="52" t="s">
        <v>48</v>
      </c>
      <c r="AJ43" s="52" t="s">
        <v>49</v>
      </c>
    </row>
    <row r="44" spans="3:39">
      <c r="I44" s="36"/>
      <c r="J44" s="36"/>
      <c r="K44" s="36"/>
      <c r="S44" s="56" t="s">
        <v>19</v>
      </c>
      <c r="T44" s="52" t="s">
        <v>48</v>
      </c>
      <c r="U44" s="52" t="s">
        <v>49</v>
      </c>
      <c r="V44" s="81" t="s">
        <v>19</v>
      </c>
      <c r="W44" s="52" t="s">
        <v>48</v>
      </c>
      <c r="X44" s="76" t="s">
        <v>49</v>
      </c>
      <c r="AH44" s="53" t="s">
        <v>81</v>
      </c>
      <c r="AI44" s="53" t="s">
        <v>81</v>
      </c>
      <c r="AJ44" s="53" t="s">
        <v>81</v>
      </c>
    </row>
    <row r="45" spans="3:39">
      <c r="I45" s="36"/>
      <c r="J45" s="36"/>
      <c r="K45" s="36"/>
      <c r="S45" s="57" t="s">
        <v>81</v>
      </c>
      <c r="T45" s="53" t="s">
        <v>81</v>
      </c>
      <c r="U45" s="53" t="s">
        <v>81</v>
      </c>
      <c r="V45" s="82" t="s">
        <v>81</v>
      </c>
      <c r="W45" s="53" t="s">
        <v>81</v>
      </c>
      <c r="X45" s="77" t="s">
        <v>81</v>
      </c>
      <c r="AH45" s="64">
        <f>AH40+INDEX(PlexosVOMs!$H$11:$H$13, MATCH(AH43, PlexosVOMs!$B$11:$B$13, 0))</f>
        <v>31858.741761406563</v>
      </c>
      <c r="AI45" s="65">
        <f>AI40+INDEX(PlexosVOMs!$H$11:$H$13, MATCH(AI43, PlexosVOMs!$B$11:$B$13, 0))</f>
        <v>30547.239096600599</v>
      </c>
      <c r="AJ45" s="65">
        <f>AJ40+INDEX(PlexosVOMs!$H$11:$H$13, MATCH(AJ43, PlexosVOMs!$B$11:$B$13, 0))</f>
        <v>26013.807117117234</v>
      </c>
    </row>
    <row r="46" spans="3:39">
      <c r="I46" s="36"/>
      <c r="J46" s="36"/>
      <c r="K46" s="36"/>
      <c r="S46" s="71"/>
      <c r="T46" s="32"/>
      <c r="U46" s="32"/>
      <c r="V46" s="32"/>
      <c r="W46" s="32"/>
      <c r="X46" s="110"/>
      <c r="AK46" s="60"/>
      <c r="AL46" s="60"/>
      <c r="AM46" s="60"/>
    </row>
    <row r="47" spans="3:39">
      <c r="H47" s="16"/>
      <c r="I47" s="112"/>
      <c r="J47" s="113"/>
      <c r="K47" s="113"/>
      <c r="R47" s="16" t="s">
        <v>21</v>
      </c>
      <c r="S47" s="109">
        <f t="shared" ref="S47:S71" si="22">(E15*$I15)/10^6</f>
        <v>0</v>
      </c>
      <c r="T47">
        <f t="shared" ref="T47:T71" si="23">(F15*$I15)/10^6</f>
        <v>0</v>
      </c>
      <c r="U47">
        <f t="shared" ref="U47:U71" si="24">(G15*$I15)/10^6</f>
        <v>0</v>
      </c>
      <c r="V47" s="84">
        <f t="shared" ref="V47:V71" si="25">(-PMT($N15,$M15,E15*$I15))/10^6</f>
        <v>0</v>
      </c>
      <c r="W47" s="46">
        <f t="shared" ref="W47:W71" si="26">(-PMT($N15,$M15,F15*$I15))/10^6</f>
        <v>0</v>
      </c>
      <c r="X47" s="79">
        <f t="shared" ref="X47:X71" si="27">(-PMT($N15,$M15,G15*$I15))/10^6</f>
        <v>0</v>
      </c>
      <c r="AL47" s="46"/>
    </row>
    <row r="48" spans="3:39">
      <c r="H48" s="16"/>
      <c r="I48" s="112"/>
      <c r="J48" s="113"/>
      <c r="K48" s="113"/>
      <c r="R48" s="16" t="s">
        <v>24</v>
      </c>
      <c r="S48" s="58">
        <f t="shared" si="22"/>
        <v>9803.3769237832857</v>
      </c>
      <c r="T48" s="13">
        <f t="shared" si="23"/>
        <v>9803.3769237832857</v>
      </c>
      <c r="U48" s="13">
        <f t="shared" si="24"/>
        <v>9803.3769237832857</v>
      </c>
      <c r="V48" s="84">
        <f t="shared" si="25"/>
        <v>983.56799551580889</v>
      </c>
      <c r="W48" s="46">
        <f t="shared" si="26"/>
        <v>983.56799551580889</v>
      </c>
      <c r="X48" s="79">
        <f t="shared" si="27"/>
        <v>983.56799551580889</v>
      </c>
    </row>
    <row r="49" spans="8:24">
      <c r="H49" s="16"/>
      <c r="I49" s="112"/>
      <c r="J49" s="113"/>
      <c r="K49" s="113"/>
      <c r="R49" s="16" t="s">
        <v>25</v>
      </c>
      <c r="S49" s="58">
        <f t="shared" si="22"/>
        <v>17043.67858671489</v>
      </c>
      <c r="T49" s="13">
        <f t="shared" si="23"/>
        <v>17042.620556369089</v>
      </c>
      <c r="U49" s="13">
        <f t="shared" si="24"/>
        <v>3612.2743051164448</v>
      </c>
      <c r="V49" s="84">
        <f t="shared" si="25"/>
        <v>1040.886548784556</v>
      </c>
      <c r="W49" s="46">
        <f t="shared" si="26"/>
        <v>1040.8219330650359</v>
      </c>
      <c r="X49" s="79">
        <f t="shared" si="27"/>
        <v>220.60775879959297</v>
      </c>
    </row>
    <row r="50" spans="8:24">
      <c r="H50" s="16"/>
      <c r="I50" s="112"/>
      <c r="J50" s="113"/>
      <c r="K50" s="113"/>
      <c r="R50" s="16" t="s">
        <v>26</v>
      </c>
      <c r="S50" s="58">
        <f t="shared" si="22"/>
        <v>3103.78742062733</v>
      </c>
      <c r="T50" s="13">
        <f t="shared" si="23"/>
        <v>3103.78742062733</v>
      </c>
      <c r="U50" s="13">
        <f t="shared" si="24"/>
        <v>5093.4948246817839</v>
      </c>
      <c r="V50" s="84">
        <f t="shared" si="25"/>
        <v>226.76972546495986</v>
      </c>
      <c r="W50" s="46">
        <f t="shared" si="26"/>
        <v>226.76972546495986</v>
      </c>
      <c r="X50" s="79">
        <f t="shared" si="27"/>
        <v>372.14224639676706</v>
      </c>
    </row>
    <row r="51" spans="8:24">
      <c r="H51" s="16"/>
      <c r="I51" s="112"/>
      <c r="J51" s="113"/>
      <c r="K51" s="113"/>
      <c r="R51" s="16" t="s">
        <v>216</v>
      </c>
      <c r="S51" s="58">
        <f t="shared" si="22"/>
        <v>5662.6308489006078</v>
      </c>
      <c r="T51" s="13">
        <f t="shared" si="23"/>
        <v>5662.6308489006078</v>
      </c>
      <c r="U51" s="13">
        <f t="shared" si="24"/>
        <v>0</v>
      </c>
      <c r="V51" s="84">
        <f t="shared" si="25"/>
        <v>450.30869987897535</v>
      </c>
      <c r="W51" s="46">
        <f t="shared" si="26"/>
        <v>450.30869987897535</v>
      </c>
      <c r="X51" s="79">
        <f t="shared" si="27"/>
        <v>0</v>
      </c>
    </row>
    <row r="52" spans="8:24">
      <c r="H52" s="16"/>
      <c r="I52" s="112"/>
      <c r="J52" s="113"/>
      <c r="K52" s="113"/>
      <c r="R52" s="16" t="s">
        <v>209</v>
      </c>
      <c r="S52" s="58">
        <f t="shared" si="22"/>
        <v>1710.2101446526865</v>
      </c>
      <c r="T52" s="13">
        <f t="shared" si="23"/>
        <v>1710.2101446526865</v>
      </c>
      <c r="U52" s="13">
        <f t="shared" si="24"/>
        <v>2269.8895696167419</v>
      </c>
      <c r="V52" s="84">
        <f t="shared" si="25"/>
        <v>174.11008242591438</v>
      </c>
      <c r="W52" s="46">
        <f t="shared" si="26"/>
        <v>174.11008242591438</v>
      </c>
      <c r="X52" s="79">
        <f t="shared" si="27"/>
        <v>231.08894617389521</v>
      </c>
    </row>
    <row r="53" spans="8:24">
      <c r="H53" s="16"/>
      <c r="I53" s="112"/>
      <c r="J53" s="113"/>
      <c r="K53" s="113"/>
      <c r="R53" s="16" t="s">
        <v>210</v>
      </c>
      <c r="S53" s="58">
        <f t="shared" si="22"/>
        <v>130.66622294036696</v>
      </c>
      <c r="T53" s="13">
        <f t="shared" si="23"/>
        <v>130.66622294036696</v>
      </c>
      <c r="U53" s="13">
        <f t="shared" si="24"/>
        <v>0</v>
      </c>
      <c r="V53" s="84">
        <f t="shared" si="25"/>
        <v>13.302638226982559</v>
      </c>
      <c r="W53" s="46">
        <f t="shared" si="26"/>
        <v>13.302638226982559</v>
      </c>
      <c r="X53" s="79">
        <f t="shared" si="27"/>
        <v>0</v>
      </c>
    </row>
    <row r="54" spans="8:24">
      <c r="H54" s="111"/>
      <c r="I54" s="114"/>
      <c r="J54" s="113"/>
      <c r="K54" s="113"/>
      <c r="R54" s="16" t="s">
        <v>29</v>
      </c>
      <c r="S54" s="58">
        <f t="shared" si="22"/>
        <v>0</v>
      </c>
      <c r="T54" s="13">
        <f t="shared" si="23"/>
        <v>0</v>
      </c>
      <c r="U54" s="13">
        <f t="shared" si="24"/>
        <v>0</v>
      </c>
      <c r="V54" s="84">
        <f t="shared" si="25"/>
        <v>0</v>
      </c>
      <c r="W54" s="46">
        <f t="shared" si="26"/>
        <v>0</v>
      </c>
      <c r="X54" s="79">
        <f t="shared" si="27"/>
        <v>0</v>
      </c>
    </row>
    <row r="55" spans="8:24">
      <c r="H55" s="111"/>
      <c r="I55" s="114"/>
      <c r="J55" s="113"/>
      <c r="K55" s="113"/>
      <c r="R55" s="16" t="s">
        <v>30</v>
      </c>
      <c r="S55" s="58">
        <f t="shared" si="22"/>
        <v>0</v>
      </c>
      <c r="T55" s="13">
        <f t="shared" si="23"/>
        <v>0</v>
      </c>
      <c r="U55" s="13">
        <f t="shared" si="24"/>
        <v>0</v>
      </c>
      <c r="V55" s="84">
        <f t="shared" si="25"/>
        <v>0</v>
      </c>
      <c r="W55" s="46">
        <f t="shared" si="26"/>
        <v>0</v>
      </c>
      <c r="X55" s="79">
        <f t="shared" si="27"/>
        <v>0</v>
      </c>
    </row>
    <row r="56" spans="8:24">
      <c r="H56" s="111"/>
      <c r="I56" s="114"/>
      <c r="J56" s="113"/>
      <c r="K56" s="113"/>
      <c r="R56" s="16" t="s">
        <v>31</v>
      </c>
      <c r="S56" s="58">
        <f t="shared" si="22"/>
        <v>0</v>
      </c>
      <c r="T56" s="13">
        <f t="shared" si="23"/>
        <v>892.10229357798164</v>
      </c>
      <c r="U56" s="13">
        <f t="shared" si="24"/>
        <v>0</v>
      </c>
      <c r="V56" s="84">
        <f t="shared" si="25"/>
        <v>0</v>
      </c>
      <c r="W56" s="46">
        <f t="shared" si="26"/>
        <v>90.821589588192509</v>
      </c>
      <c r="X56" s="79">
        <f t="shared" si="27"/>
        <v>0</v>
      </c>
    </row>
    <row r="57" spans="8:24">
      <c r="H57" s="111"/>
      <c r="I57" s="114"/>
      <c r="J57" s="113"/>
      <c r="K57" s="113"/>
      <c r="R57" s="16" t="s">
        <v>32</v>
      </c>
      <c r="S57" s="58">
        <f t="shared" si="22"/>
        <v>631.50384842883557</v>
      </c>
      <c r="T57" s="13">
        <f t="shared" si="23"/>
        <v>1263.0076968576711</v>
      </c>
      <c r="U57" s="13">
        <f t="shared" si="24"/>
        <v>0</v>
      </c>
      <c r="V57" s="84">
        <f t="shared" si="25"/>
        <v>66.989453509976144</v>
      </c>
      <c r="W57" s="46">
        <f t="shared" si="26"/>
        <v>133.97890701995229</v>
      </c>
      <c r="X57" s="79">
        <f t="shared" si="27"/>
        <v>0</v>
      </c>
    </row>
    <row r="58" spans="8:24">
      <c r="H58" s="111"/>
      <c r="I58" s="114"/>
      <c r="J58" s="113"/>
      <c r="K58" s="113"/>
      <c r="R58" s="16" t="s">
        <v>33</v>
      </c>
      <c r="S58" s="58">
        <f t="shared" si="22"/>
        <v>0</v>
      </c>
      <c r="T58" s="13">
        <f t="shared" si="23"/>
        <v>3936.435240252998</v>
      </c>
      <c r="U58" s="13">
        <f t="shared" si="24"/>
        <v>0</v>
      </c>
      <c r="V58" s="84">
        <f t="shared" si="25"/>
        <v>0</v>
      </c>
      <c r="W58" s="46">
        <f t="shared" si="26"/>
        <v>400.75371221933119</v>
      </c>
      <c r="X58" s="79">
        <f t="shared" si="27"/>
        <v>0</v>
      </c>
    </row>
    <row r="59" spans="8:24">
      <c r="H59" s="111"/>
      <c r="I59" s="114"/>
      <c r="J59" s="113"/>
      <c r="K59" s="113"/>
      <c r="R59" s="16" t="s">
        <v>34</v>
      </c>
      <c r="S59" s="58">
        <f t="shared" si="22"/>
        <v>1046.6996009174318</v>
      </c>
      <c r="T59" s="13">
        <f t="shared" si="23"/>
        <v>1046.6996009174318</v>
      </c>
      <c r="U59" s="13">
        <f t="shared" si="24"/>
        <v>2378.4226010091747</v>
      </c>
      <c r="V59" s="84">
        <f t="shared" si="25"/>
        <v>115.64891727325939</v>
      </c>
      <c r="W59" s="46">
        <f t="shared" si="26"/>
        <v>115.64891727325939</v>
      </c>
      <c r="X59" s="79">
        <f t="shared" si="27"/>
        <v>262.78981895461578</v>
      </c>
    </row>
    <row r="60" spans="8:24">
      <c r="H60" s="111"/>
      <c r="I60" s="114"/>
      <c r="J60" s="113"/>
      <c r="K60" s="113"/>
      <c r="R60" s="16" t="s">
        <v>35</v>
      </c>
      <c r="S60" s="58">
        <f t="shared" si="22"/>
        <v>803.62570223931516</v>
      </c>
      <c r="T60" s="13">
        <f t="shared" si="23"/>
        <v>803.62570223931516</v>
      </c>
      <c r="U60" s="13">
        <f t="shared" si="24"/>
        <v>648.27798284732876</v>
      </c>
      <c r="V60" s="84">
        <f t="shared" si="25"/>
        <v>69.581899209199292</v>
      </c>
      <c r="W60" s="46">
        <f t="shared" si="26"/>
        <v>69.581899209199292</v>
      </c>
      <c r="X60" s="79">
        <f t="shared" si="27"/>
        <v>56.131123153889419</v>
      </c>
    </row>
    <row r="61" spans="8:24">
      <c r="H61" s="111"/>
      <c r="I61" s="114"/>
      <c r="J61" s="113"/>
      <c r="K61" s="113"/>
      <c r="R61" s="16" t="s">
        <v>36</v>
      </c>
      <c r="S61" s="58">
        <f t="shared" si="22"/>
        <v>0</v>
      </c>
      <c r="T61" s="13">
        <f t="shared" si="23"/>
        <v>0</v>
      </c>
      <c r="U61" s="13">
        <f t="shared" si="24"/>
        <v>0</v>
      </c>
      <c r="V61" s="84">
        <f t="shared" si="25"/>
        <v>0</v>
      </c>
      <c r="W61" s="46">
        <f t="shared" si="26"/>
        <v>0</v>
      </c>
      <c r="X61" s="79">
        <f t="shared" si="27"/>
        <v>0</v>
      </c>
    </row>
    <row r="62" spans="8:24">
      <c r="H62" s="111"/>
      <c r="I62" s="114"/>
      <c r="J62" s="113"/>
      <c r="K62" s="113"/>
      <c r="R62" s="16" t="s">
        <v>37</v>
      </c>
      <c r="S62" s="58">
        <f t="shared" si="22"/>
        <v>83434.350414758213</v>
      </c>
      <c r="T62" s="13">
        <f t="shared" si="23"/>
        <v>65456.560410007231</v>
      </c>
      <c r="U62" s="13">
        <f t="shared" si="24"/>
        <v>30746.079638935294</v>
      </c>
      <c r="V62" s="84">
        <f t="shared" si="25"/>
        <v>6257.2527153645278</v>
      </c>
      <c r="W62" s="46">
        <f t="shared" si="26"/>
        <v>4908.9881844575621</v>
      </c>
      <c r="X62" s="79">
        <f t="shared" si="27"/>
        <v>2305.8367369216294</v>
      </c>
    </row>
    <row r="63" spans="8:24">
      <c r="H63" s="111"/>
      <c r="I63" s="114"/>
      <c r="J63" s="113"/>
      <c r="K63" s="113"/>
      <c r="R63" s="16" t="s">
        <v>38</v>
      </c>
      <c r="S63" s="58">
        <f t="shared" si="22"/>
        <v>22740.328637794602</v>
      </c>
      <c r="T63" s="13">
        <f t="shared" si="23"/>
        <v>22743.890617664889</v>
      </c>
      <c r="U63" s="13">
        <f t="shared" si="24"/>
        <v>11086.678991042905</v>
      </c>
      <c r="V63" s="84">
        <f t="shared" si="25"/>
        <v>1645.9760376034574</v>
      </c>
      <c r="W63" s="46">
        <f t="shared" si="26"/>
        <v>1646.2338585701771</v>
      </c>
      <c r="X63" s="79">
        <f t="shared" si="27"/>
        <v>802.46896368636044</v>
      </c>
    </row>
    <row r="64" spans="8:24">
      <c r="H64" s="111"/>
      <c r="I64" s="114"/>
      <c r="J64" s="113"/>
      <c r="K64" s="113"/>
      <c r="R64" s="16" t="s">
        <v>39</v>
      </c>
      <c r="S64" s="58">
        <f t="shared" si="22"/>
        <v>3882.6307000000006</v>
      </c>
      <c r="T64" s="13">
        <f t="shared" si="23"/>
        <v>2005.5653666666665</v>
      </c>
      <c r="U64" s="13">
        <f t="shared" si="24"/>
        <v>0</v>
      </c>
      <c r="V64" s="84">
        <f t="shared" si="25"/>
        <v>299.2437060929534</v>
      </c>
      <c r="W64" s="46">
        <f t="shared" si="26"/>
        <v>154.5737566884757</v>
      </c>
      <c r="X64" s="79">
        <f t="shared" si="27"/>
        <v>0</v>
      </c>
    </row>
    <row r="65" spans="8:24">
      <c r="H65" s="111"/>
      <c r="I65" s="114"/>
      <c r="J65" s="113"/>
      <c r="K65" s="113"/>
      <c r="R65" s="16" t="s">
        <v>40</v>
      </c>
      <c r="S65" s="58">
        <f t="shared" si="22"/>
        <v>29.816041100917602</v>
      </c>
      <c r="T65" s="13">
        <f t="shared" si="23"/>
        <v>29.816041100917602</v>
      </c>
      <c r="U65" s="13">
        <f t="shared" si="24"/>
        <v>29.816041100917602</v>
      </c>
      <c r="V65" s="84">
        <f t="shared" si="25"/>
        <v>1.8208345960608634</v>
      </c>
      <c r="W65" s="46">
        <f t="shared" si="26"/>
        <v>1.8208345960608634</v>
      </c>
      <c r="X65" s="79">
        <f t="shared" si="27"/>
        <v>1.8208345960608634</v>
      </c>
    </row>
    <row r="66" spans="8:24">
      <c r="H66" s="111"/>
      <c r="I66" s="114"/>
      <c r="J66" s="113"/>
      <c r="K66" s="113"/>
      <c r="R66" s="16" t="s">
        <v>41</v>
      </c>
      <c r="S66" s="58">
        <f t="shared" si="22"/>
        <v>46.331126164288953</v>
      </c>
      <c r="T66" s="13">
        <f t="shared" si="23"/>
        <v>46.331126164288953</v>
      </c>
      <c r="U66" s="13">
        <f t="shared" si="24"/>
        <v>11.914834300259674</v>
      </c>
      <c r="V66" s="84">
        <f t="shared" si="25"/>
        <v>2.8293936511846884</v>
      </c>
      <c r="W66" s="46">
        <f t="shared" si="26"/>
        <v>2.8293936511846884</v>
      </c>
      <c r="X66" s="79">
        <f t="shared" si="27"/>
        <v>0.727626529183238</v>
      </c>
    </row>
    <row r="67" spans="8:24">
      <c r="H67" s="111"/>
      <c r="I67" s="114"/>
      <c r="J67" s="113"/>
      <c r="K67" s="113"/>
      <c r="R67" s="16" t="s">
        <v>42</v>
      </c>
      <c r="S67" s="58">
        <f t="shared" si="22"/>
        <v>0</v>
      </c>
      <c r="T67" s="13">
        <f t="shared" si="23"/>
        <v>0</v>
      </c>
      <c r="U67" s="13">
        <f t="shared" si="24"/>
        <v>0</v>
      </c>
      <c r="V67" s="84">
        <f t="shared" si="25"/>
        <v>0</v>
      </c>
      <c r="W67" s="46">
        <f t="shared" si="26"/>
        <v>0</v>
      </c>
      <c r="X67" s="79">
        <f t="shared" si="27"/>
        <v>0</v>
      </c>
    </row>
    <row r="68" spans="8:24">
      <c r="H68" s="111"/>
      <c r="I68" s="114"/>
      <c r="J68" s="113"/>
      <c r="K68" s="113"/>
      <c r="R68" s="16" t="s">
        <v>43</v>
      </c>
      <c r="S68" s="58">
        <f t="shared" si="22"/>
        <v>1279.1615953645583</v>
      </c>
      <c r="T68" s="13">
        <f t="shared" si="23"/>
        <v>1279.1615953645583</v>
      </c>
      <c r="U68" s="13">
        <f t="shared" si="24"/>
        <v>81.503000482858525</v>
      </c>
      <c r="V68" s="84">
        <f t="shared" si="25"/>
        <v>134.47087109815018</v>
      </c>
      <c r="W68" s="46">
        <f t="shared" si="26"/>
        <v>134.47087109815018</v>
      </c>
      <c r="X68" s="79">
        <f t="shared" si="27"/>
        <v>8.5679397440942004</v>
      </c>
    </row>
    <row r="69" spans="8:24">
      <c r="H69" s="111"/>
      <c r="I69" s="114"/>
      <c r="J69" s="113"/>
      <c r="K69" s="113"/>
      <c r="R69" s="16" t="s">
        <v>44</v>
      </c>
      <c r="S69" s="58">
        <f t="shared" si="22"/>
        <v>80.369916055045877</v>
      </c>
      <c r="T69" s="13">
        <f t="shared" si="23"/>
        <v>80.369916055045877</v>
      </c>
      <c r="U69" s="13">
        <f t="shared" si="24"/>
        <v>0</v>
      </c>
      <c r="V69" s="84">
        <f t="shared" si="25"/>
        <v>8.8800012582043664</v>
      </c>
      <c r="W69" s="46">
        <f t="shared" si="26"/>
        <v>8.8800012582043664</v>
      </c>
      <c r="X69" s="79">
        <f t="shared" si="27"/>
        <v>0</v>
      </c>
    </row>
    <row r="70" spans="8:24">
      <c r="H70" s="16"/>
      <c r="I70" s="112"/>
      <c r="J70" s="113"/>
      <c r="K70" s="113"/>
      <c r="R70" s="16" t="s">
        <v>204</v>
      </c>
      <c r="S70" s="58">
        <f t="shared" si="22"/>
        <v>20523.512234370042</v>
      </c>
      <c r="T70" s="13">
        <f t="shared" si="23"/>
        <v>18898.215137082327</v>
      </c>
      <c r="U70" s="13">
        <f t="shared" si="24"/>
        <v>11975.717234372531</v>
      </c>
      <c r="V70" s="84">
        <f t="shared" si="25"/>
        <v>2397.7525948302919</v>
      </c>
      <c r="W70" s="46">
        <f t="shared" si="26"/>
        <v>2207.8698745683337</v>
      </c>
      <c r="X70" s="79">
        <f t="shared" si="27"/>
        <v>1399.1175947741951</v>
      </c>
    </row>
    <row r="71" spans="8:24">
      <c r="H71" s="16"/>
      <c r="I71" s="112"/>
      <c r="J71" s="113"/>
      <c r="K71" s="113"/>
      <c r="R71" s="16" t="s">
        <v>217</v>
      </c>
      <c r="S71" s="58">
        <f t="shared" si="22"/>
        <v>7100.3596164354922</v>
      </c>
      <c r="T71" s="13">
        <f t="shared" si="23"/>
        <v>7100.3596164354922</v>
      </c>
      <c r="U71" s="13">
        <f t="shared" si="24"/>
        <v>5785.4782059844747</v>
      </c>
      <c r="V71" s="84">
        <f t="shared" si="25"/>
        <v>722.86098988278229</v>
      </c>
      <c r="W71" s="46">
        <f t="shared" si="26"/>
        <v>722.86098988278229</v>
      </c>
      <c r="X71" s="79">
        <f t="shared" si="27"/>
        <v>588.99784360819297</v>
      </c>
    </row>
    <row r="72" spans="8:24">
      <c r="S72" s="70">
        <f>SUM(S47:S71)</f>
        <v>179053.03958124793</v>
      </c>
      <c r="T72" s="70">
        <f>SUM(T47:T71)</f>
        <v>163035.43247766016</v>
      </c>
      <c r="U72" s="70">
        <f>SUM(U47:U71)</f>
        <v>83522.924153273983</v>
      </c>
      <c r="V72" s="70">
        <f t="shared" ref="V72:X72" si="28">SUM(V47:V71)</f>
        <v>14612.253104667247</v>
      </c>
      <c r="W72" s="70">
        <f t="shared" si="28"/>
        <v>13488.193864658544</v>
      </c>
      <c r="X72" s="70">
        <f t="shared" si="28"/>
        <v>7233.8654288542857</v>
      </c>
    </row>
    <row r="74" spans="8:24">
      <c r="S74" s="54" t="s">
        <v>397</v>
      </c>
      <c r="T74" s="51"/>
      <c r="U74" s="51"/>
      <c r="V74" s="51"/>
      <c r="W74" s="51"/>
      <c r="X74" s="51"/>
    </row>
    <row r="75" spans="8:24">
      <c r="S75" s="55" t="s">
        <v>420</v>
      </c>
      <c r="T75" s="50"/>
      <c r="U75" s="50"/>
      <c r="V75" s="86" t="s">
        <v>421</v>
      </c>
      <c r="W75" s="50"/>
      <c r="X75" s="75"/>
    </row>
    <row r="76" spans="8:24">
      <c r="S76" s="56" t="s">
        <v>19</v>
      </c>
      <c r="T76" s="52" t="s">
        <v>48</v>
      </c>
      <c r="U76" s="52" t="s">
        <v>49</v>
      </c>
      <c r="V76" s="81" t="s">
        <v>19</v>
      </c>
      <c r="W76" s="52" t="s">
        <v>48</v>
      </c>
      <c r="X76" s="76" t="s">
        <v>49</v>
      </c>
    </row>
    <row r="77" spans="8:24">
      <c r="S77" s="57" t="s">
        <v>81</v>
      </c>
      <c r="T77" s="53" t="s">
        <v>81</v>
      </c>
      <c r="U77" s="53" t="s">
        <v>81</v>
      </c>
      <c r="V77" s="82" t="s">
        <v>81</v>
      </c>
      <c r="W77" s="53" t="s">
        <v>81</v>
      </c>
      <c r="X77" s="77" t="s">
        <v>81</v>
      </c>
    </row>
    <row r="78" spans="8:24">
      <c r="S78" s="71"/>
      <c r="T78" s="32"/>
      <c r="U78" s="32"/>
      <c r="V78" s="83"/>
      <c r="W78" s="74"/>
      <c r="X78" s="78"/>
    </row>
    <row r="79" spans="8:24">
      <c r="R79" s="16" t="s">
        <v>21</v>
      </c>
      <c r="S79" s="59">
        <f t="shared" ref="S79:S103" si="29">(E15*$J15)/10^6</f>
        <v>0</v>
      </c>
      <c r="T79" s="46">
        <f t="shared" ref="T79:T103" si="30">(F15*$J15)/10^6</f>
        <v>0</v>
      </c>
      <c r="U79" s="46">
        <f t="shared" ref="U79:U103" si="31">(G15*$J15)/10^6</f>
        <v>0</v>
      </c>
      <c r="V79" s="84">
        <f t="shared" ref="V79:V103" si="32">(-PMT($N15,$M15,E15*$J15))/10^6</f>
        <v>0</v>
      </c>
      <c r="W79" s="46">
        <f t="shared" ref="W79:W103" si="33">(-PMT($N15,$M15,F15*$J15))/10^6</f>
        <v>0</v>
      </c>
      <c r="X79" s="79">
        <f t="shared" ref="X79:X103" si="34">(-PMT($N15,$M15,G15*$J15))/10^6</f>
        <v>0</v>
      </c>
    </row>
    <row r="80" spans="8:24">
      <c r="R80" s="16" t="s">
        <v>24</v>
      </c>
      <c r="S80" s="59">
        <f t="shared" si="29"/>
        <v>9803.3769237832857</v>
      </c>
      <c r="T80" s="46">
        <f t="shared" si="30"/>
        <v>9803.3769237832857</v>
      </c>
      <c r="U80" s="46">
        <f t="shared" si="31"/>
        <v>9803.3769237832857</v>
      </c>
      <c r="V80" s="84">
        <f t="shared" si="32"/>
        <v>983.56799551580889</v>
      </c>
      <c r="W80" s="46">
        <f t="shared" si="33"/>
        <v>983.56799551580889</v>
      </c>
      <c r="X80" s="79">
        <f t="shared" si="34"/>
        <v>983.56799551580889</v>
      </c>
    </row>
    <row r="81" spans="18:24">
      <c r="R81" s="16" t="s">
        <v>25</v>
      </c>
      <c r="S81" s="59">
        <f t="shared" si="29"/>
        <v>21561.280139820046</v>
      </c>
      <c r="T81" s="46">
        <f t="shared" si="30"/>
        <v>21559.941667695839</v>
      </c>
      <c r="U81" s="46">
        <f t="shared" si="31"/>
        <v>4569.7446028581535</v>
      </c>
      <c r="V81" s="84">
        <f t="shared" si="32"/>
        <v>1316.7841882214266</v>
      </c>
      <c r="W81" s="46">
        <f t="shared" si="33"/>
        <v>1316.7024454437203</v>
      </c>
      <c r="X81" s="79">
        <f t="shared" si="34"/>
        <v>279.08210450550922</v>
      </c>
    </row>
    <row r="82" spans="18:24">
      <c r="R82" s="16" t="s">
        <v>26</v>
      </c>
      <c r="S82" s="59">
        <f t="shared" si="29"/>
        <v>3103.78742062733</v>
      </c>
      <c r="T82" s="46">
        <f t="shared" si="30"/>
        <v>3103.78742062733</v>
      </c>
      <c r="U82" s="46">
        <f t="shared" si="31"/>
        <v>5093.4948246817839</v>
      </c>
      <c r="V82" s="84">
        <f t="shared" si="32"/>
        <v>226.76972546495986</v>
      </c>
      <c r="W82" s="46">
        <f t="shared" si="33"/>
        <v>226.76972546495986</v>
      </c>
      <c r="X82" s="79">
        <f t="shared" si="34"/>
        <v>372.14224639676706</v>
      </c>
    </row>
    <row r="83" spans="18:24">
      <c r="R83" s="16" t="s">
        <v>216</v>
      </c>
      <c r="S83" s="59">
        <f t="shared" si="29"/>
        <v>11977.306023960607</v>
      </c>
      <c r="T83" s="46">
        <f t="shared" si="30"/>
        <v>11977.306023960607</v>
      </c>
      <c r="U83" s="46">
        <f t="shared" si="31"/>
        <v>0</v>
      </c>
      <c r="V83" s="84">
        <f t="shared" si="32"/>
        <v>952.46984089550142</v>
      </c>
      <c r="W83" s="46">
        <f t="shared" si="33"/>
        <v>952.46984089550142</v>
      </c>
      <c r="X83" s="79">
        <f t="shared" si="34"/>
        <v>0</v>
      </c>
    </row>
    <row r="84" spans="18:24">
      <c r="R84" s="16" t="s">
        <v>209</v>
      </c>
      <c r="S84" s="59">
        <f t="shared" si="29"/>
        <v>1710.2101446526865</v>
      </c>
      <c r="T84" s="46">
        <f t="shared" si="30"/>
        <v>1710.2101446526865</v>
      </c>
      <c r="U84" s="46">
        <f t="shared" si="31"/>
        <v>2269.8895696167419</v>
      </c>
      <c r="V84" s="84">
        <f t="shared" si="32"/>
        <v>174.11008242591438</v>
      </c>
      <c r="W84" s="46">
        <f t="shared" si="33"/>
        <v>174.11008242591438</v>
      </c>
      <c r="X84" s="79">
        <f t="shared" si="34"/>
        <v>231.08894617389521</v>
      </c>
    </row>
    <row r="85" spans="18:24">
      <c r="R85" s="16" t="s">
        <v>210</v>
      </c>
      <c r="S85" s="59">
        <f t="shared" si="29"/>
        <v>130.66622294036696</v>
      </c>
      <c r="T85" s="46">
        <f t="shared" si="30"/>
        <v>130.66622294036696</v>
      </c>
      <c r="U85" s="46">
        <f t="shared" si="31"/>
        <v>0</v>
      </c>
      <c r="V85" s="84">
        <f t="shared" si="32"/>
        <v>13.302638226982559</v>
      </c>
      <c r="W85" s="46">
        <f t="shared" si="33"/>
        <v>13.302638226982559</v>
      </c>
      <c r="X85" s="79">
        <f t="shared" si="34"/>
        <v>0</v>
      </c>
    </row>
    <row r="86" spans="18:24">
      <c r="R86" s="16" t="s">
        <v>29</v>
      </c>
      <c r="S86" s="59">
        <f t="shared" si="29"/>
        <v>0</v>
      </c>
      <c r="T86" s="46">
        <f t="shared" si="30"/>
        <v>0</v>
      </c>
      <c r="U86" s="46">
        <f t="shared" si="31"/>
        <v>0</v>
      </c>
      <c r="V86" s="84">
        <f t="shared" si="32"/>
        <v>0</v>
      </c>
      <c r="W86" s="46">
        <f t="shared" si="33"/>
        <v>0</v>
      </c>
      <c r="X86" s="79">
        <f t="shared" si="34"/>
        <v>0</v>
      </c>
    </row>
    <row r="87" spans="18:24">
      <c r="R87" s="16" t="s">
        <v>30</v>
      </c>
      <c r="S87" s="59">
        <f t="shared" si="29"/>
        <v>0</v>
      </c>
      <c r="T87" s="46">
        <f t="shared" si="30"/>
        <v>0</v>
      </c>
      <c r="U87" s="46">
        <f t="shared" si="31"/>
        <v>0</v>
      </c>
      <c r="V87" s="84">
        <f t="shared" si="32"/>
        <v>0</v>
      </c>
      <c r="W87" s="46">
        <f t="shared" si="33"/>
        <v>0</v>
      </c>
      <c r="X87" s="79">
        <f t="shared" si="34"/>
        <v>0</v>
      </c>
    </row>
    <row r="88" spans="18:24">
      <c r="R88" s="16" t="s">
        <v>31</v>
      </c>
      <c r="S88" s="59">
        <f t="shared" si="29"/>
        <v>0</v>
      </c>
      <c r="T88" s="46">
        <f t="shared" si="30"/>
        <v>892.10229357798164</v>
      </c>
      <c r="U88" s="46">
        <f t="shared" si="31"/>
        <v>0</v>
      </c>
      <c r="V88" s="84">
        <f t="shared" si="32"/>
        <v>0</v>
      </c>
      <c r="W88" s="46">
        <f t="shared" si="33"/>
        <v>90.821589588192509</v>
      </c>
      <c r="X88" s="79">
        <f t="shared" si="34"/>
        <v>0</v>
      </c>
    </row>
    <row r="89" spans="18:24">
      <c r="R89" s="16" t="s">
        <v>32</v>
      </c>
      <c r="S89" s="59">
        <f t="shared" si="29"/>
        <v>631.50384842883557</v>
      </c>
      <c r="T89" s="46">
        <f t="shared" si="30"/>
        <v>1263.0076968576711</v>
      </c>
      <c r="U89" s="46">
        <f t="shared" si="31"/>
        <v>0</v>
      </c>
      <c r="V89" s="84">
        <f t="shared" si="32"/>
        <v>66.989453509976144</v>
      </c>
      <c r="W89" s="46">
        <f t="shared" si="33"/>
        <v>133.97890701995229</v>
      </c>
      <c r="X89" s="79">
        <f t="shared" si="34"/>
        <v>0</v>
      </c>
    </row>
    <row r="90" spans="18:24">
      <c r="R90" s="16" t="s">
        <v>33</v>
      </c>
      <c r="S90" s="59">
        <f t="shared" si="29"/>
        <v>0</v>
      </c>
      <c r="T90" s="46">
        <f t="shared" si="30"/>
        <v>3936.435240252998</v>
      </c>
      <c r="U90" s="46">
        <f t="shared" si="31"/>
        <v>0</v>
      </c>
      <c r="V90" s="84">
        <f t="shared" si="32"/>
        <v>0</v>
      </c>
      <c r="W90" s="46">
        <f t="shared" si="33"/>
        <v>400.75371221933119</v>
      </c>
      <c r="X90" s="79">
        <f t="shared" si="34"/>
        <v>0</v>
      </c>
    </row>
    <row r="91" spans="18:24">
      <c r="R91" s="16" t="s">
        <v>34</v>
      </c>
      <c r="S91" s="59">
        <f t="shared" si="29"/>
        <v>1046.6996009174318</v>
      </c>
      <c r="T91" s="46">
        <f t="shared" si="30"/>
        <v>1046.6996009174318</v>
      </c>
      <c r="U91" s="46">
        <f t="shared" si="31"/>
        <v>2378.4226010091747</v>
      </c>
      <c r="V91" s="84">
        <f t="shared" si="32"/>
        <v>115.64891727325939</v>
      </c>
      <c r="W91" s="46">
        <f t="shared" si="33"/>
        <v>115.64891727325939</v>
      </c>
      <c r="X91" s="79">
        <f t="shared" si="34"/>
        <v>262.78981895461578</v>
      </c>
    </row>
    <row r="92" spans="18:24">
      <c r="R92" s="16" t="s">
        <v>35</v>
      </c>
      <c r="S92" s="59">
        <f t="shared" si="29"/>
        <v>803.62570223931516</v>
      </c>
      <c r="T92" s="46">
        <f t="shared" si="30"/>
        <v>803.62570223931516</v>
      </c>
      <c r="U92" s="46">
        <f t="shared" si="31"/>
        <v>648.27798284732876</v>
      </c>
      <c r="V92" s="84">
        <f t="shared" si="32"/>
        <v>69.581899209199292</v>
      </c>
      <c r="W92" s="46">
        <f t="shared" si="33"/>
        <v>69.581899209199292</v>
      </c>
      <c r="X92" s="79">
        <f t="shared" si="34"/>
        <v>56.131123153889419</v>
      </c>
    </row>
    <row r="93" spans="18:24">
      <c r="R93" s="16" t="s">
        <v>36</v>
      </c>
      <c r="S93" s="59">
        <f t="shared" si="29"/>
        <v>0</v>
      </c>
      <c r="T93" s="46">
        <f t="shared" si="30"/>
        <v>0</v>
      </c>
      <c r="U93" s="46">
        <f t="shared" si="31"/>
        <v>0</v>
      </c>
      <c r="V93" s="84">
        <f t="shared" si="32"/>
        <v>0</v>
      </c>
      <c r="W93" s="46">
        <f t="shared" si="33"/>
        <v>0</v>
      </c>
      <c r="X93" s="79">
        <f t="shared" si="34"/>
        <v>0</v>
      </c>
    </row>
    <row r="94" spans="18:24">
      <c r="R94" s="16" t="s">
        <v>37</v>
      </c>
      <c r="S94" s="59">
        <f t="shared" si="29"/>
        <v>123753.46685677562</v>
      </c>
      <c r="T94" s="46">
        <f t="shared" si="30"/>
        <v>97088.024764264439</v>
      </c>
      <c r="U94" s="46">
        <f t="shared" si="31"/>
        <v>45603.926064722269</v>
      </c>
      <c r="V94" s="84">
        <f t="shared" si="32"/>
        <v>9281.0300874394034</v>
      </c>
      <c r="W94" s="46">
        <f t="shared" si="33"/>
        <v>7281.2253414286097</v>
      </c>
      <c r="X94" s="79">
        <f t="shared" si="34"/>
        <v>3420.1175988216446</v>
      </c>
    </row>
    <row r="95" spans="18:24">
      <c r="R95" s="16" t="s">
        <v>38</v>
      </c>
      <c r="S95" s="59">
        <f t="shared" si="29"/>
        <v>29860.628157253865</v>
      </c>
      <c r="T95" s="46">
        <f t="shared" si="30"/>
        <v>29865.305440423534</v>
      </c>
      <c r="U95" s="46">
        <f t="shared" si="31"/>
        <v>14558.065722064999</v>
      </c>
      <c r="V95" s="84">
        <f t="shared" si="32"/>
        <v>2161.3530392405796</v>
      </c>
      <c r="W95" s="46">
        <f t="shared" si="33"/>
        <v>2161.6915873830003</v>
      </c>
      <c r="X95" s="79">
        <f t="shared" si="34"/>
        <v>1053.7326752855215</v>
      </c>
    </row>
    <row r="96" spans="18:24">
      <c r="R96" s="16" t="s">
        <v>39</v>
      </c>
      <c r="S96" s="59">
        <f t="shared" si="29"/>
        <v>3882.6307000000006</v>
      </c>
      <c r="T96" s="46">
        <f t="shared" si="30"/>
        <v>2005.5653666666665</v>
      </c>
      <c r="U96" s="46">
        <f t="shared" si="31"/>
        <v>0</v>
      </c>
      <c r="V96" s="84">
        <f t="shared" si="32"/>
        <v>299.2437060929534</v>
      </c>
      <c r="W96" s="46">
        <f t="shared" si="33"/>
        <v>154.5737566884757</v>
      </c>
      <c r="X96" s="79">
        <f t="shared" si="34"/>
        <v>0</v>
      </c>
    </row>
    <row r="97" spans="18:24">
      <c r="R97" s="16" t="s">
        <v>40</v>
      </c>
      <c r="S97" s="59">
        <f t="shared" si="29"/>
        <v>29.816041100917602</v>
      </c>
      <c r="T97" s="46">
        <f t="shared" si="30"/>
        <v>29.816041100917602</v>
      </c>
      <c r="U97" s="46">
        <f t="shared" si="31"/>
        <v>29.816041100917602</v>
      </c>
      <c r="V97" s="84">
        <f t="shared" si="32"/>
        <v>1.8208345960608634</v>
      </c>
      <c r="W97" s="46">
        <f t="shared" si="33"/>
        <v>1.8208345960608634</v>
      </c>
      <c r="X97" s="79">
        <f t="shared" si="34"/>
        <v>1.8208345960608634</v>
      </c>
    </row>
    <row r="98" spans="18:24">
      <c r="R98" s="16" t="s">
        <v>41</v>
      </c>
      <c r="S98" s="59">
        <f t="shared" si="29"/>
        <v>88.676779110144452</v>
      </c>
      <c r="T98" s="46">
        <f t="shared" si="30"/>
        <v>88.676779110144452</v>
      </c>
      <c r="U98" s="46">
        <f t="shared" si="31"/>
        <v>22.804736617701312</v>
      </c>
      <c r="V98" s="84">
        <f t="shared" si="32"/>
        <v>5.4153986011921997</v>
      </c>
      <c r="W98" s="46">
        <f t="shared" si="33"/>
        <v>5.4153986011921997</v>
      </c>
      <c r="X98" s="79">
        <f t="shared" si="34"/>
        <v>1.3926615289743696</v>
      </c>
    </row>
    <row r="99" spans="18:24">
      <c r="R99" s="16" t="s">
        <v>42</v>
      </c>
      <c r="S99" s="59">
        <f t="shared" si="29"/>
        <v>0</v>
      </c>
      <c r="T99" s="46">
        <f t="shared" si="30"/>
        <v>0</v>
      </c>
      <c r="U99" s="46">
        <f t="shared" si="31"/>
        <v>0</v>
      </c>
      <c r="V99" s="84">
        <f t="shared" si="32"/>
        <v>0</v>
      </c>
      <c r="W99" s="46">
        <f t="shared" si="33"/>
        <v>0</v>
      </c>
      <c r="X99" s="79">
        <f t="shared" si="34"/>
        <v>0</v>
      </c>
    </row>
    <row r="100" spans="18:24">
      <c r="R100" s="16" t="s">
        <v>43</v>
      </c>
      <c r="S100" s="59">
        <f t="shared" si="29"/>
        <v>1456.8229280540806</v>
      </c>
      <c r="T100" s="46">
        <f t="shared" si="30"/>
        <v>1456.8229280540806</v>
      </c>
      <c r="U100" s="46">
        <f t="shared" si="31"/>
        <v>92.822861661033329</v>
      </c>
      <c r="V100" s="84">
        <f t="shared" si="32"/>
        <v>153.14738097289333</v>
      </c>
      <c r="W100" s="46">
        <f t="shared" si="33"/>
        <v>153.14738097289333</v>
      </c>
      <c r="X100" s="79">
        <f t="shared" si="34"/>
        <v>9.7579313752183978</v>
      </c>
    </row>
    <row r="101" spans="18:24">
      <c r="R101" s="16" t="s">
        <v>44</v>
      </c>
      <c r="S101" s="59">
        <f t="shared" si="29"/>
        <v>80.369916055045877</v>
      </c>
      <c r="T101" s="46">
        <f t="shared" si="30"/>
        <v>80.369916055045877</v>
      </c>
      <c r="U101" s="46">
        <f t="shared" si="31"/>
        <v>0</v>
      </c>
      <c r="V101" s="84">
        <f t="shared" si="32"/>
        <v>8.8800012582043664</v>
      </c>
      <c r="W101" s="46">
        <f t="shared" si="33"/>
        <v>8.8800012582043664</v>
      </c>
      <c r="X101" s="79">
        <f t="shared" si="34"/>
        <v>0</v>
      </c>
    </row>
    <row r="102" spans="18:24">
      <c r="R102" s="16" t="s">
        <v>204</v>
      </c>
      <c r="S102" s="59">
        <f t="shared" si="29"/>
        <v>20523.512234370042</v>
      </c>
      <c r="T102" s="46">
        <f t="shared" si="30"/>
        <v>18898.215137082327</v>
      </c>
      <c r="U102" s="46">
        <f t="shared" si="31"/>
        <v>11975.717234372531</v>
      </c>
      <c r="V102" s="84">
        <f t="shared" si="32"/>
        <v>2397.7525948302919</v>
      </c>
      <c r="W102" s="46">
        <f t="shared" si="33"/>
        <v>2207.8698745683337</v>
      </c>
      <c r="X102" s="79">
        <f t="shared" si="34"/>
        <v>1399.1175947741951</v>
      </c>
    </row>
    <row r="103" spans="18:24">
      <c r="R103" s="16" t="s">
        <v>217</v>
      </c>
      <c r="S103" s="59">
        <f t="shared" si="29"/>
        <v>7100.3596164354922</v>
      </c>
      <c r="T103" s="46">
        <f t="shared" si="30"/>
        <v>7100.3596164354922</v>
      </c>
      <c r="U103" s="46">
        <f t="shared" si="31"/>
        <v>5785.4782059844747</v>
      </c>
      <c r="V103" s="84">
        <f t="shared" si="32"/>
        <v>722.86098988278229</v>
      </c>
      <c r="W103" s="46">
        <f t="shared" si="33"/>
        <v>722.86098988278229</v>
      </c>
      <c r="X103" s="79">
        <f t="shared" si="34"/>
        <v>588.99784360819297</v>
      </c>
    </row>
    <row r="104" spans="18:24">
      <c r="S104" s="70">
        <f>SUM(S79:S103)</f>
        <v>237544.73925652509</v>
      </c>
      <c r="T104" s="70">
        <f>SUM(T79:T103)</f>
        <v>212840.31492669813</v>
      </c>
      <c r="U104" s="70">
        <f>SUM(U79:U103)</f>
        <v>102831.83737132039</v>
      </c>
      <c r="V104" s="70">
        <f t="shared" ref="V104:X104" si="35">SUM(V79:V103)</f>
        <v>18950.728773657389</v>
      </c>
      <c r="W104" s="70">
        <f t="shared" si="35"/>
        <v>17175.192918662375</v>
      </c>
      <c r="X104" s="70">
        <f t="shared" si="35"/>
        <v>8659.7393746902944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08613-1C48-4941-B5C5-1DCE1AADE9FE}">
  <sheetPr codeName="Sheet2"/>
  <dimension ref="B2:F22"/>
  <sheetViews>
    <sheetView workbookViewId="0"/>
  </sheetViews>
  <sheetFormatPr defaultRowHeight="14"/>
  <cols>
    <col min="3" max="3" width="31.75" customWidth="1"/>
    <col min="4" max="4" width="15.75" customWidth="1"/>
    <col min="5" max="5" width="52.4140625" bestFit="1" customWidth="1"/>
  </cols>
  <sheetData>
    <row r="2" spans="2:6">
      <c r="B2" s="96" t="s">
        <v>4</v>
      </c>
      <c r="C2" t="s">
        <v>166</v>
      </c>
    </row>
    <row r="3" spans="2:6">
      <c r="B3" s="96" t="s">
        <v>6</v>
      </c>
      <c r="C3" t="s">
        <v>167</v>
      </c>
    </row>
    <row r="4" spans="2:6">
      <c r="B4" s="96" t="s">
        <v>8</v>
      </c>
      <c r="C4" t="s">
        <v>168</v>
      </c>
      <c r="D4" s="18" t="s">
        <v>63</v>
      </c>
    </row>
    <row r="5" spans="2:6">
      <c r="C5" t="s">
        <v>169</v>
      </c>
      <c r="D5" s="18" t="s">
        <v>63</v>
      </c>
      <c r="E5" t="s">
        <v>170</v>
      </c>
    </row>
    <row r="6" spans="2:6">
      <c r="B6" s="96" t="s">
        <v>171</v>
      </c>
      <c r="C6" t="s">
        <v>489</v>
      </c>
    </row>
    <row r="8" spans="2:6">
      <c r="B8" s="128" t="s">
        <v>172</v>
      </c>
    </row>
    <row r="10" spans="2:6">
      <c r="B10" s="5" t="s">
        <v>88</v>
      </c>
      <c r="C10" s="5" t="s">
        <v>173</v>
      </c>
      <c r="D10" s="5" t="s">
        <v>174</v>
      </c>
      <c r="E10" s="5" t="s">
        <v>174</v>
      </c>
      <c r="F10" s="5" t="s">
        <v>174</v>
      </c>
    </row>
    <row r="11" spans="2:6">
      <c r="B11" s="36" t="s">
        <v>138</v>
      </c>
      <c r="C11" s="36" t="s">
        <v>175</v>
      </c>
      <c r="D11" s="36" t="s">
        <v>176</v>
      </c>
      <c r="E11" s="36" t="s">
        <v>177</v>
      </c>
      <c r="F11" s="36" t="s">
        <v>167</v>
      </c>
    </row>
    <row r="12" spans="2:6">
      <c r="B12" t="s">
        <v>178</v>
      </c>
      <c r="C12" s="1">
        <v>750</v>
      </c>
      <c r="D12" s="1">
        <v>860</v>
      </c>
      <c r="E12" s="138">
        <f>D12*(1/'XR&amp;Inflation'!C24)</f>
        <v>733.16283034953108</v>
      </c>
      <c r="F12" s="138">
        <f>(E12*10^3)/(C12)</f>
        <v>977.55044046604132</v>
      </c>
    </row>
    <row r="15" spans="2:6">
      <c r="B15" s="128" t="s">
        <v>179</v>
      </c>
    </row>
    <row r="17" spans="2:6">
      <c r="B17" s="5" t="s">
        <v>88</v>
      </c>
      <c r="C17" s="5" t="s">
        <v>173</v>
      </c>
      <c r="D17" s="5" t="s">
        <v>174</v>
      </c>
      <c r="E17" s="5" t="s">
        <v>174</v>
      </c>
      <c r="F17" s="5" t="s">
        <v>174</v>
      </c>
    </row>
    <row r="18" spans="2:6">
      <c r="B18" s="36" t="s">
        <v>138</v>
      </c>
      <c r="C18" s="36" t="s">
        <v>175</v>
      </c>
      <c r="D18" s="36" t="s">
        <v>180</v>
      </c>
      <c r="E18" s="36" t="s">
        <v>177</v>
      </c>
      <c r="F18" s="36" t="s">
        <v>167</v>
      </c>
    </row>
    <row r="19" spans="2:6">
      <c r="B19" t="s">
        <v>178</v>
      </c>
      <c r="C19" s="1">
        <v>1400</v>
      </c>
      <c r="D19" s="1">
        <v>989</v>
      </c>
      <c r="E19" s="139">
        <f>D19*('XR&amp;Inflation'!I24/'XR&amp;Inflation'!I22)</f>
        <v>1085.8746828561073</v>
      </c>
      <c r="F19" s="138">
        <f>(E19*10^3)/(C19)</f>
        <v>775.62477346864807</v>
      </c>
    </row>
    <row r="22" spans="2:6">
      <c r="D22" s="129" t="s">
        <v>149</v>
      </c>
      <c r="E22" s="129" t="s">
        <v>181</v>
      </c>
      <c r="F22" s="153">
        <f>F12+F19</f>
        <v>1753.1752139346895</v>
      </c>
    </row>
  </sheetData>
  <hyperlinks>
    <hyperlink ref="D4" r:id="rId1" xr:uid="{9B6FF337-FFF1-462F-AE0D-1074E9662465}"/>
    <hyperlink ref="D5" r:id="rId2" xr:uid="{FF980FD3-AE3F-45E2-881A-452067B3C6FB}"/>
  </hyperlinks>
  <pageMargins left="0.7" right="0.7" top="0.75" bottom="0.75" header="0.3" footer="0.3"/>
  <pageSetup paperSize="9" orientation="portrait"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C7EC4-FF19-4FAB-838B-AC7E7D81D1EA}">
  <sheetPr codeName="Sheet42"/>
  <dimension ref="C1:J19"/>
  <sheetViews>
    <sheetView workbookViewId="0"/>
  </sheetViews>
  <sheetFormatPr defaultRowHeight="14"/>
  <cols>
    <col min="1" max="1" width="1.75" customWidth="1"/>
    <col min="3" max="3" width="23.75" bestFit="1" customWidth="1"/>
    <col min="4" max="4" width="10.25" customWidth="1"/>
    <col min="5" max="5" width="21.25" bestFit="1" customWidth="1"/>
    <col min="6" max="6" width="16.75" bestFit="1" customWidth="1"/>
    <col min="7" max="8" width="17.25" customWidth="1"/>
    <col min="9" max="9" width="26.75" bestFit="1" customWidth="1"/>
    <col min="10" max="10" width="23" customWidth="1"/>
  </cols>
  <sheetData>
    <row r="1" spans="3:10" ht="10.4" customHeight="1"/>
    <row r="3" spans="3:10">
      <c r="D3" s="51"/>
      <c r="E3" s="51" t="s">
        <v>423</v>
      </c>
      <c r="F3" s="51" t="s">
        <v>234</v>
      </c>
      <c r="G3" s="51" t="s">
        <v>56</v>
      </c>
      <c r="H3" s="51" t="s">
        <v>425</v>
      </c>
      <c r="I3" s="51" t="s">
        <v>426</v>
      </c>
      <c r="J3" s="51" t="s">
        <v>427</v>
      </c>
    </row>
    <row r="4" spans="3:10">
      <c r="D4" s="50" t="s">
        <v>6</v>
      </c>
      <c r="E4" s="50" t="s">
        <v>81</v>
      </c>
      <c r="F4" s="50" t="s">
        <v>291</v>
      </c>
      <c r="G4" s="50" t="s">
        <v>57</v>
      </c>
      <c r="H4" s="50" t="s">
        <v>81</v>
      </c>
      <c r="I4" s="50" t="s">
        <v>81</v>
      </c>
      <c r="J4" s="50" t="s">
        <v>81</v>
      </c>
    </row>
    <row r="5" spans="3:10">
      <c r="C5" s="5" t="s">
        <v>429</v>
      </c>
    </row>
    <row r="6" spans="3:10">
      <c r="C6" s="105" t="s">
        <v>211</v>
      </c>
      <c r="E6" s="121">
        <f>Network!D32</f>
        <v>28101.297500000001</v>
      </c>
      <c r="F6">
        <f>Network!C24</f>
        <v>45</v>
      </c>
      <c r="G6" s="14">
        <f>Network!E17</f>
        <v>4.0620000000000003E-2</v>
      </c>
      <c r="H6" s="121">
        <f>-PMT(G6,F6,E6)</f>
        <v>1369.771959596894</v>
      </c>
      <c r="I6" s="121">
        <f>Network!F56</f>
        <v>267.89668691922799</v>
      </c>
      <c r="J6" s="46">
        <f>H6+I6</f>
        <v>1637.668646516122</v>
      </c>
    </row>
    <row r="7" spans="3:10">
      <c r="C7" s="105" t="s">
        <v>430</v>
      </c>
      <c r="E7" s="17">
        <f>Network!N114</f>
        <v>20317.603722109525</v>
      </c>
      <c r="F7">
        <f>Network!C74</f>
        <v>45</v>
      </c>
      <c r="G7" s="14">
        <f>Network!C75</f>
        <v>3.2599999999999997E-2</v>
      </c>
      <c r="H7" s="17">
        <f>-PMT(G7,F7,E7)</f>
        <v>867.04327658743443</v>
      </c>
      <c r="I7" s="17">
        <f>Network!K108</f>
        <v>829.27448275862071</v>
      </c>
      <c r="J7" s="46">
        <f>H7+I7</f>
        <v>1696.317759346055</v>
      </c>
    </row>
    <row r="9" spans="3:10">
      <c r="D9" s="51"/>
      <c r="E9" s="51" t="s">
        <v>432</v>
      </c>
      <c r="F9" s="51" t="s">
        <v>433</v>
      </c>
      <c r="G9" s="51"/>
      <c r="H9" s="51"/>
      <c r="I9" s="51" t="s">
        <v>426</v>
      </c>
      <c r="J9" s="51" t="s">
        <v>427</v>
      </c>
    </row>
    <row r="10" spans="3:10">
      <c r="D10" s="50" t="s">
        <v>6</v>
      </c>
      <c r="E10" s="50" t="s">
        <v>434</v>
      </c>
      <c r="F10" s="50" t="s">
        <v>435</v>
      </c>
      <c r="G10" s="50"/>
      <c r="H10" s="50"/>
      <c r="I10" s="50" t="s">
        <v>81</v>
      </c>
      <c r="J10" s="50" t="s">
        <v>81</v>
      </c>
    </row>
    <row r="11" spans="3:10">
      <c r="C11" s="5" t="s">
        <v>436</v>
      </c>
      <c r="D11" s="10"/>
      <c r="E11" s="10"/>
      <c r="F11" s="10"/>
      <c r="I11" s="10"/>
      <c r="J11" s="10"/>
    </row>
    <row r="12" spans="3:10">
      <c r="C12" s="5" t="s">
        <v>437</v>
      </c>
      <c r="D12" s="10"/>
      <c r="E12" s="10"/>
      <c r="F12" s="10"/>
      <c r="I12" s="10"/>
      <c r="J12" s="10"/>
    </row>
    <row r="13" spans="3:10">
      <c r="C13" s="105" t="s">
        <v>49</v>
      </c>
      <c r="E13" s="12">
        <f>'CO2&amp;H2'!$F$14</f>
        <v>18.760604791688753</v>
      </c>
      <c r="F13" s="46">
        <f>EmissionsCaptured_LG!D12</f>
        <v>0</v>
      </c>
      <c r="I13" s="46">
        <f>(E13*F13)/10^6</f>
        <v>0</v>
      </c>
      <c r="J13" s="46">
        <f>I13</f>
        <v>0</v>
      </c>
    </row>
    <row r="14" spans="3:10">
      <c r="C14" s="105" t="s">
        <v>19</v>
      </c>
      <c r="E14" s="12">
        <f>'CO2&amp;H2'!$F$14</f>
        <v>18.760604791688753</v>
      </c>
      <c r="F14" s="46">
        <f>EmissionsCaptured_LG!D13</f>
        <v>3443461.2</v>
      </c>
      <c r="I14" s="46">
        <f t="shared" ref="I14:I15" si="0">(E14*F14)/10^6</f>
        <v>64.6014146887143</v>
      </c>
      <c r="J14" s="46">
        <f t="shared" ref="J14:J15" si="1">I14</f>
        <v>64.6014146887143</v>
      </c>
    </row>
    <row r="15" spans="3:10">
      <c r="C15" s="105" t="s">
        <v>48</v>
      </c>
      <c r="E15" s="12">
        <f>'CO2&amp;H2'!$F$14</f>
        <v>18.760604791688753</v>
      </c>
      <c r="F15" s="46">
        <f>EmissionsCaptured_LG!D14</f>
        <v>8664469.4092999995</v>
      </c>
      <c r="I15" s="46">
        <f t="shared" si="0"/>
        <v>162.55068631755418</v>
      </c>
      <c r="J15" s="46">
        <f t="shared" si="1"/>
        <v>162.55068631755418</v>
      </c>
    </row>
    <row r="16" spans="3:10">
      <c r="C16" s="193" t="s">
        <v>438</v>
      </c>
      <c r="E16" s="12"/>
      <c r="F16" s="46"/>
      <c r="I16" s="46"/>
      <c r="J16" s="46"/>
    </row>
    <row r="17" spans="3:10">
      <c r="C17" s="105" t="s">
        <v>49</v>
      </c>
      <c r="E17" s="12">
        <f>'CO2&amp;H2'!$F$15</f>
        <v>78.194650817236251</v>
      </c>
      <c r="F17" s="46">
        <f>F13</f>
        <v>0</v>
      </c>
      <c r="I17" s="46">
        <f>(E17*F17)/10^6</f>
        <v>0</v>
      </c>
      <c r="J17" s="46">
        <f>I17</f>
        <v>0</v>
      </c>
    </row>
    <row r="18" spans="3:10">
      <c r="C18" s="105" t="s">
        <v>19</v>
      </c>
      <c r="E18" s="12">
        <f>'CO2&amp;H2'!$F$15</f>
        <v>78.194650817236251</v>
      </c>
      <c r="F18" s="46">
        <f>F14</f>
        <v>3443461.2</v>
      </c>
      <c r="I18" s="46">
        <f>(E18*F18)/10^6</f>
        <v>269.26024613670137</v>
      </c>
      <c r="J18" s="46">
        <f t="shared" ref="J18:J19" si="2">I18</f>
        <v>269.26024613670137</v>
      </c>
    </row>
    <row r="19" spans="3:10">
      <c r="C19" s="105" t="s">
        <v>48</v>
      </c>
      <c r="E19" s="12">
        <f>'CO2&amp;H2'!$F$15</f>
        <v>78.194650817236251</v>
      </c>
      <c r="F19" s="46">
        <f>F15</f>
        <v>8664469.4092999995</v>
      </c>
      <c r="I19" s="46">
        <f t="shared" ref="I19" si="3">(E19*F19)/10^6</f>
        <v>677.51515997683873</v>
      </c>
      <c r="J19" s="46">
        <f t="shared" si="2"/>
        <v>677.51515997683873</v>
      </c>
    </row>
  </sheetData>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4C1CB-5FB6-44B0-872E-F969A78D3911}">
  <sheetPr codeName="Sheet43"/>
  <dimension ref="B3:E10"/>
  <sheetViews>
    <sheetView workbookViewId="0"/>
  </sheetViews>
  <sheetFormatPr defaultRowHeight="14"/>
  <cols>
    <col min="2" max="2" width="11.25" customWidth="1"/>
  </cols>
  <sheetData>
    <row r="3" spans="2:5">
      <c r="B3" t="s">
        <v>440</v>
      </c>
    </row>
    <row r="4" spans="2:5">
      <c r="C4" s="36"/>
      <c r="D4" s="36"/>
      <c r="E4" s="36"/>
    </row>
    <row r="5" spans="2:5">
      <c r="C5" s="51" t="s">
        <v>49</v>
      </c>
      <c r="D5" s="51" t="s">
        <v>19</v>
      </c>
      <c r="E5" s="51" t="s">
        <v>48</v>
      </c>
    </row>
    <row r="6" spans="2:5">
      <c r="C6" s="50" t="s">
        <v>81</v>
      </c>
      <c r="D6" s="50" t="s">
        <v>81</v>
      </c>
      <c r="E6" s="50" t="s">
        <v>81</v>
      </c>
    </row>
    <row r="7" spans="2:5">
      <c r="B7" t="s">
        <v>208</v>
      </c>
      <c r="C7" s="13">
        <f>ConstraintInputs_LG!D10</f>
        <v>2258.75</v>
      </c>
      <c r="D7" s="13">
        <f>ConstraintInputs_LG!D13</f>
        <v>2054.11</v>
      </c>
      <c r="E7" s="13">
        <f>ConstraintInputs_LG!D16</f>
        <v>1694.52</v>
      </c>
    </row>
    <row r="8" spans="2:5">
      <c r="B8" t="s">
        <v>441</v>
      </c>
      <c r="C8">
        <f>ConstraintInputs_LG!$D$29</f>
        <v>83</v>
      </c>
      <c r="D8">
        <f>ConstraintInputs_LG!$D$29</f>
        <v>83</v>
      </c>
      <c r="E8">
        <f>ConstraintInputs_LG!$D$29</f>
        <v>83</v>
      </c>
    </row>
    <row r="9" spans="2:5">
      <c r="B9" t="s">
        <v>442</v>
      </c>
      <c r="C9">
        <f>ConstraintInputs_LG!$D$28</f>
        <v>268</v>
      </c>
      <c r="D9">
        <f>ConstraintInputs_LG!$D$28</f>
        <v>268</v>
      </c>
      <c r="E9">
        <f>ConstraintInputs_LG!$D$28</f>
        <v>268</v>
      </c>
    </row>
    <row r="10" spans="2:5">
      <c r="B10" s="5" t="s">
        <v>117</v>
      </c>
      <c r="C10" s="41">
        <f>SUM(C7:C9)</f>
        <v>2609.75</v>
      </c>
      <c r="D10" s="41">
        <f t="shared" ref="D10:E10" si="0">SUM(D7:D9)</f>
        <v>2405.11</v>
      </c>
      <c r="E10" s="41">
        <f t="shared" si="0"/>
        <v>2045.52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41BEB-A9CF-4CDD-BFD5-575D8E03A909}">
  <sheetPr codeName="Sheet7"/>
  <dimension ref="B2:J50"/>
  <sheetViews>
    <sheetView topLeftCell="A7" workbookViewId="0">
      <selection activeCell="H50" sqref="H50"/>
    </sheetView>
  </sheetViews>
  <sheetFormatPr defaultRowHeight="14"/>
  <cols>
    <col min="3" max="3" width="11.4140625" bestFit="1" customWidth="1"/>
  </cols>
  <sheetData>
    <row r="2" spans="2:10">
      <c r="B2" s="96" t="s">
        <v>4</v>
      </c>
      <c r="C2" s="43" t="s">
        <v>182</v>
      </c>
      <c r="D2" s="43"/>
      <c r="E2" s="43"/>
    </row>
    <row r="3" spans="2:10">
      <c r="B3" s="96" t="s">
        <v>6</v>
      </c>
      <c r="C3" s="43" t="s">
        <v>183</v>
      </c>
      <c r="D3" s="43"/>
      <c r="E3" s="43"/>
    </row>
    <row r="4" spans="2:10">
      <c r="B4" s="96" t="s">
        <v>8</v>
      </c>
      <c r="C4" s="43" t="s">
        <v>184</v>
      </c>
      <c r="D4" s="18"/>
      <c r="E4" s="18"/>
    </row>
    <row r="6" spans="2:10">
      <c r="B6" t="s">
        <v>185</v>
      </c>
      <c r="H6" t="s">
        <v>186</v>
      </c>
    </row>
    <row r="8" spans="2:10" ht="14.5">
      <c r="B8" s="49" t="s">
        <v>187</v>
      </c>
      <c r="C8" s="49" t="s">
        <v>188</v>
      </c>
      <c r="D8" s="48" t="s">
        <v>189</v>
      </c>
      <c r="E8" s="48" t="s">
        <v>190</v>
      </c>
      <c r="F8" s="48" t="s">
        <v>191</v>
      </c>
    </row>
    <row r="9" spans="2:10" ht="14.5">
      <c r="B9" s="49" t="s">
        <v>192</v>
      </c>
      <c r="C9" s="49" t="s">
        <v>191</v>
      </c>
      <c r="D9" s="48" t="s">
        <v>191</v>
      </c>
      <c r="E9" s="48" t="s">
        <v>191</v>
      </c>
      <c r="F9" s="48" t="s">
        <v>191</v>
      </c>
      <c r="H9" s="48"/>
      <c r="I9" s="101" t="s">
        <v>193</v>
      </c>
    </row>
    <row r="10" spans="2:10" ht="14.5">
      <c r="B10" s="150">
        <v>2010</v>
      </c>
      <c r="C10" s="151">
        <v>1.1659999999999999</v>
      </c>
      <c r="D10" s="151">
        <v>1.2E-2</v>
      </c>
      <c r="E10" s="151">
        <v>0.754</v>
      </c>
      <c r="F10" s="151">
        <v>1</v>
      </c>
      <c r="H10" s="150">
        <v>2010</v>
      </c>
      <c r="I10" s="152">
        <v>85.61</v>
      </c>
      <c r="J10" s="28">
        <f>I10/$I$24</f>
        <v>0.70652801848642399</v>
      </c>
    </row>
    <row r="11" spans="2:10" ht="14.5">
      <c r="B11" s="150">
        <v>2011</v>
      </c>
      <c r="C11" s="151">
        <v>1.153</v>
      </c>
      <c r="D11" s="151">
        <v>1.2E-2</v>
      </c>
      <c r="E11" s="151">
        <v>0.71899999999999997</v>
      </c>
      <c r="F11" s="151">
        <v>1</v>
      </c>
      <c r="H11" s="150">
        <v>2011</v>
      </c>
      <c r="I11" s="152">
        <v>87.48</v>
      </c>
      <c r="J11" s="28">
        <f t="shared" ref="J11:J50" si="0">I11/$I$24</f>
        <v>0.72196088140628867</v>
      </c>
    </row>
    <row r="12" spans="2:10" ht="14.5">
      <c r="B12" s="150">
        <v>2012</v>
      </c>
      <c r="C12" s="151">
        <v>1.2330000000000001</v>
      </c>
      <c r="D12" s="151">
        <v>1.2E-2</v>
      </c>
      <c r="E12" s="151">
        <v>0.77800000000000002</v>
      </c>
      <c r="F12" s="151">
        <v>1</v>
      </c>
      <c r="H12" s="150">
        <v>2012</v>
      </c>
      <c r="I12" s="152">
        <v>88.83</v>
      </c>
      <c r="J12" s="28">
        <f t="shared" si="0"/>
        <v>0.73310225303292886</v>
      </c>
    </row>
    <row r="13" spans="2:10" ht="14.5">
      <c r="B13" s="150">
        <v>2013</v>
      </c>
      <c r="C13" s="151">
        <v>1.1779999999999999</v>
      </c>
      <c r="D13" s="151">
        <v>1.2E-2</v>
      </c>
      <c r="E13" s="151">
        <v>0.753</v>
      </c>
      <c r="F13" s="151">
        <v>1</v>
      </c>
      <c r="H13" s="150">
        <v>2013</v>
      </c>
      <c r="I13" s="152">
        <v>90.71</v>
      </c>
      <c r="J13" s="28">
        <f t="shared" si="0"/>
        <v>0.74861764463150937</v>
      </c>
    </row>
    <row r="14" spans="2:10" ht="14.5">
      <c r="B14" s="150">
        <v>2014</v>
      </c>
      <c r="C14" s="151">
        <v>1.2410000000000001</v>
      </c>
      <c r="D14" s="151">
        <v>1.2E-2</v>
      </c>
      <c r="E14" s="151">
        <v>0.753</v>
      </c>
      <c r="F14" s="151">
        <v>1</v>
      </c>
      <c r="H14" s="150">
        <v>2014</v>
      </c>
      <c r="I14" s="152">
        <v>91.9</v>
      </c>
      <c r="J14" s="28">
        <f t="shared" si="0"/>
        <v>0.75843855739869603</v>
      </c>
    </row>
    <row r="15" spans="2:10" ht="14.5">
      <c r="B15" s="150">
        <v>2015</v>
      </c>
      <c r="C15" s="151">
        <v>1.3779999999999999</v>
      </c>
      <c r="D15" s="151">
        <v>1.4E-2</v>
      </c>
      <c r="E15" s="151">
        <v>0.90200000000000002</v>
      </c>
      <c r="F15" s="151">
        <v>1</v>
      </c>
      <c r="H15" s="150">
        <v>2015</v>
      </c>
      <c r="I15" s="152">
        <v>92.51</v>
      </c>
      <c r="J15" s="28">
        <f t="shared" si="0"/>
        <v>0.76347280680036311</v>
      </c>
    </row>
    <row r="16" spans="2:10" ht="14.5">
      <c r="B16" s="150">
        <v>2016</v>
      </c>
      <c r="C16" s="151">
        <v>1.224</v>
      </c>
      <c r="D16" s="151">
        <v>1.2E-2</v>
      </c>
      <c r="E16" s="151">
        <v>0.90400000000000003</v>
      </c>
      <c r="F16" s="151">
        <v>1</v>
      </c>
      <c r="H16" s="150">
        <v>2016</v>
      </c>
      <c r="I16" s="152">
        <v>94.33</v>
      </c>
      <c r="J16" s="28">
        <f t="shared" si="0"/>
        <v>0.77849302632664852</v>
      </c>
    </row>
    <row r="17" spans="2:10" ht="14.5">
      <c r="B17" s="150">
        <v>2017</v>
      </c>
      <c r="C17" s="151">
        <v>1.1419999999999999</v>
      </c>
      <c r="D17" s="151">
        <v>1.0999999999999999E-2</v>
      </c>
      <c r="E17" s="151">
        <v>0.88600000000000001</v>
      </c>
      <c r="F17" s="151">
        <v>1</v>
      </c>
      <c r="H17" s="150">
        <v>2017</v>
      </c>
      <c r="I17" s="152">
        <v>96.08</v>
      </c>
      <c r="J17" s="28">
        <f t="shared" si="0"/>
        <v>0.79293554510192288</v>
      </c>
    </row>
    <row r="18" spans="2:10" ht="14.5">
      <c r="B18" s="150">
        <v>2018</v>
      </c>
      <c r="C18" s="151">
        <v>1.1299999999999999</v>
      </c>
      <c r="D18" s="151">
        <v>1.0999999999999999E-2</v>
      </c>
      <c r="E18" s="151">
        <v>0.84599999999999997</v>
      </c>
      <c r="F18" s="151">
        <v>1</v>
      </c>
      <c r="H18" s="150">
        <v>2018</v>
      </c>
      <c r="I18" s="152">
        <v>97.93</v>
      </c>
      <c r="J18" s="28">
        <f t="shared" si="0"/>
        <v>0.80820335066435589</v>
      </c>
    </row>
    <row r="19" spans="2:10" ht="14.5">
      <c r="B19" s="150">
        <v>2019</v>
      </c>
      <c r="C19" s="151">
        <v>1.141</v>
      </c>
      <c r="D19" s="151">
        <v>1.0999999999999999E-2</v>
      </c>
      <c r="E19" s="151">
        <v>0.89300000000000002</v>
      </c>
      <c r="F19" s="151">
        <v>1</v>
      </c>
      <c r="H19" s="150">
        <v>2019</v>
      </c>
      <c r="I19" s="152">
        <v>100</v>
      </c>
      <c r="J19" s="28">
        <f t="shared" si="0"/>
        <v>0.82528678715853754</v>
      </c>
    </row>
    <row r="20" spans="2:10" ht="14.5">
      <c r="B20" s="150">
        <v>2020</v>
      </c>
      <c r="C20" s="151">
        <v>1.125</v>
      </c>
      <c r="D20" s="151">
        <v>1.0999999999999999E-2</v>
      </c>
      <c r="E20" s="151">
        <v>0.877</v>
      </c>
      <c r="F20" s="151">
        <v>1</v>
      </c>
      <c r="H20" s="150">
        <v>2020</v>
      </c>
      <c r="I20" s="152">
        <v>105.3</v>
      </c>
      <c r="J20" s="28">
        <f t="shared" si="0"/>
        <v>0.86902698687794</v>
      </c>
    </row>
    <row r="21" spans="2:10" ht="14.5">
      <c r="B21" s="150">
        <v>2021</v>
      </c>
      <c r="C21" s="151">
        <v>1.163</v>
      </c>
      <c r="D21" s="151">
        <v>1.2E-2</v>
      </c>
      <c r="E21" s="151">
        <v>0.84499999999999997</v>
      </c>
      <c r="F21" s="151">
        <v>1</v>
      </c>
      <c r="H21" s="150">
        <v>2021</v>
      </c>
      <c r="I21" s="152">
        <v>104.96</v>
      </c>
      <c r="J21" s="28">
        <f t="shared" si="0"/>
        <v>0.86622101180160094</v>
      </c>
    </row>
    <row r="22" spans="2:10" ht="14.5">
      <c r="B22" s="150">
        <v>2022</v>
      </c>
      <c r="C22" s="151">
        <v>1.173</v>
      </c>
      <c r="D22" s="151">
        <v>1.2E-2</v>
      </c>
      <c r="E22" s="151">
        <v>0.94799999999999995</v>
      </c>
      <c r="F22" s="151">
        <v>1</v>
      </c>
      <c r="H22" s="150">
        <v>2022</v>
      </c>
      <c r="I22" s="152">
        <v>110.36</v>
      </c>
      <c r="J22" s="28">
        <f t="shared" si="0"/>
        <v>0.91078649830816205</v>
      </c>
    </row>
    <row r="23" spans="2:10" ht="14.5">
      <c r="B23" s="150">
        <v>2023</v>
      </c>
      <c r="C23" s="151">
        <v>1.157</v>
      </c>
      <c r="D23" s="151">
        <v>1.2E-2</v>
      </c>
      <c r="E23" s="151">
        <v>0.92700000000000005</v>
      </c>
      <c r="F23" s="151">
        <v>1</v>
      </c>
      <c r="H23" s="150">
        <v>2023</v>
      </c>
      <c r="I23" s="152">
        <v>118.29</v>
      </c>
      <c r="J23" s="28">
        <f t="shared" si="0"/>
        <v>0.97623174052983419</v>
      </c>
    </row>
    <row r="24" spans="2:10" ht="14.5">
      <c r="B24" s="150">
        <v>2024</v>
      </c>
      <c r="C24" s="151">
        <v>1.173</v>
      </c>
      <c r="D24" s="151">
        <v>1.2E-2</v>
      </c>
      <c r="E24" s="151">
        <v>0.91500000000000004</v>
      </c>
      <c r="F24" s="151">
        <v>1</v>
      </c>
      <c r="H24" s="150">
        <v>2024</v>
      </c>
      <c r="I24" s="152">
        <v>121.17</v>
      </c>
      <c r="J24" s="28">
        <f t="shared" si="0"/>
        <v>1</v>
      </c>
    </row>
    <row r="25" spans="2:10" ht="14.5">
      <c r="B25" s="150">
        <v>2025</v>
      </c>
      <c r="C25" s="151">
        <v>1.1639999999999999</v>
      </c>
      <c r="D25" s="151">
        <v>1.2E-2</v>
      </c>
      <c r="E25" s="151">
        <v>0.89700000000000002</v>
      </c>
      <c r="F25" s="151">
        <v>1</v>
      </c>
      <c r="H25" s="150">
        <v>2025</v>
      </c>
      <c r="I25" s="152">
        <v>123.27</v>
      </c>
      <c r="J25" s="28">
        <f t="shared" si="0"/>
        <v>1.0173310225303291</v>
      </c>
    </row>
    <row r="26" spans="2:10" ht="14.5">
      <c r="B26" s="150">
        <v>2026</v>
      </c>
      <c r="C26" s="151">
        <v>1.155</v>
      </c>
      <c r="D26" s="151">
        <v>1.2E-2</v>
      </c>
      <c r="E26" s="151">
        <v>0.88400000000000001</v>
      </c>
      <c r="F26" s="151">
        <v>1</v>
      </c>
      <c r="H26" s="150">
        <v>2026</v>
      </c>
      <c r="I26" s="152">
        <v>125.88</v>
      </c>
      <c r="J26" s="28">
        <f t="shared" si="0"/>
        <v>1.038871007675167</v>
      </c>
    </row>
    <row r="27" spans="2:10" ht="14.5">
      <c r="B27" s="150">
        <v>2027</v>
      </c>
      <c r="C27" s="151">
        <v>1.145</v>
      </c>
      <c r="D27" s="151">
        <v>1.0999999999999999E-2</v>
      </c>
      <c r="E27" s="151">
        <v>0.86699999999999999</v>
      </c>
      <c r="F27" s="151">
        <v>1</v>
      </c>
      <c r="H27" s="150">
        <v>2027</v>
      </c>
      <c r="I27" s="152">
        <v>128.59</v>
      </c>
      <c r="J27" s="28">
        <f t="shared" si="0"/>
        <v>1.0612362796071635</v>
      </c>
    </row>
    <row r="28" spans="2:10" ht="14.5">
      <c r="B28" s="150">
        <v>2028</v>
      </c>
      <c r="C28" s="151">
        <v>1.1359999999999999</v>
      </c>
      <c r="D28" s="151">
        <v>1.0999999999999999E-2</v>
      </c>
      <c r="E28" s="151">
        <v>0.84599999999999997</v>
      </c>
      <c r="F28" s="151">
        <v>1</v>
      </c>
      <c r="H28" s="150">
        <v>2028</v>
      </c>
      <c r="I28" s="152">
        <v>131.25</v>
      </c>
      <c r="J28" s="28">
        <f t="shared" si="0"/>
        <v>1.0831889081455806</v>
      </c>
    </row>
    <row r="29" spans="2:10" ht="14.5">
      <c r="B29" s="150">
        <v>2029</v>
      </c>
      <c r="C29" s="151">
        <v>1.127</v>
      </c>
      <c r="D29" s="151">
        <v>1.0999999999999999E-2</v>
      </c>
      <c r="E29" s="151">
        <v>0.82</v>
      </c>
      <c r="F29" s="151">
        <v>1</v>
      </c>
      <c r="H29" s="150">
        <v>2029</v>
      </c>
      <c r="I29" s="152">
        <v>133.93</v>
      </c>
      <c r="J29" s="28">
        <f t="shared" si="0"/>
        <v>1.1053065940414295</v>
      </c>
    </row>
    <row r="30" spans="2:10" ht="14.5">
      <c r="B30" s="150">
        <v>2030</v>
      </c>
      <c r="C30" s="229">
        <v>1.1200000000000001</v>
      </c>
      <c r="D30" s="151">
        <v>1.0999999999999999E-2</v>
      </c>
      <c r="E30" s="230">
        <v>0.80100000000000005</v>
      </c>
      <c r="F30" s="151">
        <v>1</v>
      </c>
      <c r="H30" s="150">
        <v>2030</v>
      </c>
      <c r="I30" s="152">
        <v>136.79</v>
      </c>
      <c r="J30" s="28">
        <f>I30/$I$24</f>
        <v>1.1289097961541634</v>
      </c>
    </row>
    <row r="31" spans="2:10" ht="14.5">
      <c r="B31" s="150">
        <v>2031</v>
      </c>
      <c r="C31" s="151">
        <v>1.1200000000000001</v>
      </c>
      <c r="D31" s="151">
        <v>1.0999999999999999E-2</v>
      </c>
      <c r="E31" s="151">
        <v>0.8</v>
      </c>
      <c r="F31" s="151">
        <v>1</v>
      </c>
      <c r="H31" s="150">
        <v>2031</v>
      </c>
      <c r="I31" s="152">
        <v>139.75</v>
      </c>
      <c r="J31" s="28">
        <f t="shared" si="0"/>
        <v>1.1533382850540563</v>
      </c>
    </row>
    <row r="32" spans="2:10" ht="14.5">
      <c r="B32" s="150">
        <v>2032</v>
      </c>
      <c r="C32" s="151">
        <v>1.1200000000000001</v>
      </c>
      <c r="D32" s="151">
        <v>1.0999999999999999E-2</v>
      </c>
      <c r="E32" s="151">
        <v>0.8</v>
      </c>
      <c r="F32" s="151">
        <v>1</v>
      </c>
      <c r="H32" s="150">
        <v>2032</v>
      </c>
      <c r="I32" s="152">
        <v>142.79</v>
      </c>
      <c r="J32" s="28">
        <f t="shared" si="0"/>
        <v>1.1784270033836757</v>
      </c>
    </row>
    <row r="33" spans="2:10" ht="14.5">
      <c r="B33" s="150">
        <v>2033</v>
      </c>
      <c r="C33" s="151">
        <v>1.1200000000000001</v>
      </c>
      <c r="D33" s="151">
        <v>1.0999999999999999E-2</v>
      </c>
      <c r="E33" s="151">
        <v>0.8</v>
      </c>
      <c r="F33" s="151">
        <v>1</v>
      </c>
      <c r="H33" s="150">
        <v>2033</v>
      </c>
      <c r="I33" s="152">
        <v>145.88999999999999</v>
      </c>
      <c r="J33" s="28">
        <f t="shared" si="0"/>
        <v>1.2040108937855905</v>
      </c>
    </row>
    <row r="34" spans="2:10" ht="14.5">
      <c r="B34" s="150">
        <v>2034</v>
      </c>
      <c r="C34" s="229">
        <v>1.1200000000000001</v>
      </c>
      <c r="D34" s="151">
        <v>1.0999999999999999E-2</v>
      </c>
      <c r="E34" s="151">
        <v>0.8</v>
      </c>
      <c r="F34" s="151">
        <v>1</v>
      </c>
      <c r="H34" s="150">
        <v>2034</v>
      </c>
      <c r="I34" s="152">
        <v>149.06</v>
      </c>
      <c r="J34" s="28">
        <f t="shared" si="0"/>
        <v>1.2301724849385161</v>
      </c>
    </row>
    <row r="35" spans="2:10" ht="14.5">
      <c r="B35" s="150">
        <v>2035</v>
      </c>
      <c r="C35" s="151">
        <v>1.1200000000000001</v>
      </c>
      <c r="D35" s="151">
        <v>1.0999999999999999E-2</v>
      </c>
      <c r="E35" s="151">
        <v>0.8</v>
      </c>
      <c r="F35" s="151">
        <v>1</v>
      </c>
      <c r="H35" s="150">
        <v>2035</v>
      </c>
      <c r="I35" s="152">
        <v>152.29</v>
      </c>
      <c r="J35" s="28">
        <f t="shared" si="0"/>
        <v>1.2568292481637369</v>
      </c>
    </row>
    <row r="36" spans="2:10" ht="14.5">
      <c r="B36" s="150">
        <v>2036</v>
      </c>
      <c r="C36" s="151">
        <v>1.1200000000000001</v>
      </c>
      <c r="D36" s="151">
        <v>1.0999999999999999E-2</v>
      </c>
      <c r="E36" s="151">
        <v>0.8</v>
      </c>
      <c r="F36" s="151">
        <v>1</v>
      </c>
      <c r="H36" s="150">
        <v>2036</v>
      </c>
      <c r="I36" s="152">
        <v>155.6</v>
      </c>
      <c r="J36" s="28">
        <f t="shared" si="0"/>
        <v>1.2841462408186843</v>
      </c>
    </row>
    <row r="37" spans="2:10" ht="14.5">
      <c r="B37" s="150">
        <v>2037</v>
      </c>
      <c r="C37" s="151">
        <v>1.1200000000000001</v>
      </c>
      <c r="D37" s="151">
        <v>1.0999999999999999E-2</v>
      </c>
      <c r="E37" s="151">
        <v>0.8</v>
      </c>
      <c r="F37" s="151">
        <v>1</v>
      </c>
      <c r="H37" s="150">
        <v>2037</v>
      </c>
      <c r="I37" s="152">
        <v>158.99</v>
      </c>
      <c r="J37" s="28">
        <f t="shared" si="0"/>
        <v>1.3121234629033589</v>
      </c>
    </row>
    <row r="38" spans="2:10" ht="14.5">
      <c r="B38" s="150">
        <v>2038</v>
      </c>
      <c r="C38" s="151">
        <v>1.1200000000000001</v>
      </c>
      <c r="D38" s="151">
        <v>1.0999999999999999E-2</v>
      </c>
      <c r="E38" s="151">
        <v>0.8</v>
      </c>
      <c r="F38" s="151">
        <v>1</v>
      </c>
      <c r="H38" s="150">
        <v>2038</v>
      </c>
      <c r="I38" s="152">
        <v>162.44999999999999</v>
      </c>
      <c r="J38" s="28">
        <f t="shared" si="0"/>
        <v>1.3406783857390443</v>
      </c>
    </row>
    <row r="39" spans="2:10" ht="14.5">
      <c r="B39" s="150">
        <v>2039</v>
      </c>
      <c r="C39" s="151">
        <v>1.1200000000000001</v>
      </c>
      <c r="D39" s="151">
        <v>1.0999999999999999E-2</v>
      </c>
      <c r="E39" s="151">
        <v>0.8</v>
      </c>
      <c r="F39" s="151">
        <v>1</v>
      </c>
      <c r="H39" s="150">
        <v>2039</v>
      </c>
      <c r="I39" s="152">
        <v>165.99</v>
      </c>
      <c r="J39" s="28">
        <f t="shared" si="0"/>
        <v>1.3698935380044566</v>
      </c>
    </row>
    <row r="40" spans="2:10" ht="14.5">
      <c r="B40" s="150">
        <v>2040</v>
      </c>
      <c r="C40" s="151">
        <v>1.1200000000000001</v>
      </c>
      <c r="D40" s="151">
        <v>1.0999999999999999E-2</v>
      </c>
      <c r="E40" s="151">
        <v>0.8</v>
      </c>
      <c r="F40" s="151">
        <v>1</v>
      </c>
      <c r="H40" s="150">
        <v>2040</v>
      </c>
      <c r="I40" s="152">
        <v>169.6</v>
      </c>
      <c r="J40" s="28">
        <f t="shared" si="0"/>
        <v>1.3996863910208797</v>
      </c>
    </row>
    <row r="41" spans="2:10" ht="14.5">
      <c r="B41" s="150">
        <v>2041</v>
      </c>
      <c r="C41" s="151">
        <v>1.1200000000000001</v>
      </c>
      <c r="D41" s="151">
        <v>1.0999999999999999E-2</v>
      </c>
      <c r="E41" s="151">
        <v>0.8</v>
      </c>
      <c r="F41" s="151">
        <v>1</v>
      </c>
      <c r="H41" s="150">
        <v>2041</v>
      </c>
      <c r="I41" s="152">
        <v>173.3</v>
      </c>
      <c r="J41" s="28">
        <f t="shared" si="0"/>
        <v>1.4302220021457457</v>
      </c>
    </row>
    <row r="42" spans="2:10" ht="14.5">
      <c r="B42" s="150">
        <v>2042</v>
      </c>
      <c r="C42" s="151">
        <v>1.1200000000000001</v>
      </c>
      <c r="D42" s="151">
        <v>1.0999999999999999E-2</v>
      </c>
      <c r="E42" s="151">
        <v>0.8</v>
      </c>
      <c r="F42" s="151">
        <v>1</v>
      </c>
      <c r="H42" s="150">
        <v>2042</v>
      </c>
      <c r="I42" s="152">
        <v>177.07</v>
      </c>
      <c r="J42" s="28">
        <f t="shared" si="0"/>
        <v>1.4613353140216225</v>
      </c>
    </row>
    <row r="43" spans="2:10" ht="14.5">
      <c r="B43" s="150">
        <v>2043</v>
      </c>
      <c r="C43" s="151">
        <v>1.1200000000000001</v>
      </c>
      <c r="D43" s="151">
        <v>1.0999999999999999E-2</v>
      </c>
      <c r="E43" s="151">
        <v>0.8</v>
      </c>
      <c r="F43" s="151">
        <v>1</v>
      </c>
      <c r="H43" s="150">
        <v>2043</v>
      </c>
      <c r="I43" s="152">
        <v>180.94</v>
      </c>
      <c r="J43" s="28">
        <f t="shared" si="0"/>
        <v>1.4932739126846579</v>
      </c>
    </row>
    <row r="44" spans="2:10" ht="14.5">
      <c r="B44" s="150">
        <v>2044</v>
      </c>
      <c r="C44" s="151">
        <v>1.1200000000000001</v>
      </c>
      <c r="D44" s="151">
        <v>1.0999999999999999E-2</v>
      </c>
      <c r="E44" s="151">
        <v>0.8</v>
      </c>
      <c r="F44" s="151">
        <v>1</v>
      </c>
      <c r="H44" s="150">
        <v>2044</v>
      </c>
      <c r="I44" s="152">
        <v>184.88</v>
      </c>
      <c r="J44" s="28">
        <f t="shared" si="0"/>
        <v>1.5257902120987041</v>
      </c>
    </row>
    <row r="45" spans="2:10" ht="14.5">
      <c r="B45" s="150">
        <v>2045</v>
      </c>
      <c r="C45" s="151">
        <v>1.1200000000000001</v>
      </c>
      <c r="D45" s="151">
        <v>1.0999999999999999E-2</v>
      </c>
      <c r="E45" s="151">
        <v>0.8</v>
      </c>
      <c r="F45" s="151">
        <v>1</v>
      </c>
      <c r="H45" s="150">
        <v>2045</v>
      </c>
      <c r="I45" s="152">
        <v>188.92</v>
      </c>
      <c r="J45" s="28">
        <f t="shared" si="0"/>
        <v>1.5591317982999091</v>
      </c>
    </row>
    <row r="46" spans="2:10" ht="14.5">
      <c r="B46" s="150">
        <v>2046</v>
      </c>
      <c r="C46" s="151">
        <v>1.1200000000000001</v>
      </c>
      <c r="D46" s="151">
        <v>1.0999999999999999E-2</v>
      </c>
      <c r="E46" s="151">
        <v>0.8</v>
      </c>
      <c r="F46" s="151">
        <v>1</v>
      </c>
      <c r="H46" s="150">
        <v>2046</v>
      </c>
      <c r="I46" s="152">
        <v>193.04</v>
      </c>
      <c r="J46" s="28">
        <f t="shared" si="0"/>
        <v>1.593133613930841</v>
      </c>
    </row>
    <row r="47" spans="2:10" ht="14.5">
      <c r="B47" s="150">
        <v>2047</v>
      </c>
      <c r="C47" s="151">
        <v>1.1200000000000001</v>
      </c>
      <c r="D47" s="151">
        <v>1.0999999999999999E-2</v>
      </c>
      <c r="E47" s="151">
        <v>0.8</v>
      </c>
      <c r="F47" s="151">
        <v>1</v>
      </c>
      <c r="H47" s="150">
        <v>2047</v>
      </c>
      <c r="I47" s="152">
        <v>197.25</v>
      </c>
      <c r="J47" s="28">
        <f t="shared" si="0"/>
        <v>1.6278781876702153</v>
      </c>
    </row>
    <row r="48" spans="2:10" ht="14.5">
      <c r="B48" s="150">
        <v>2048</v>
      </c>
      <c r="C48" s="151">
        <v>1.1200000000000001</v>
      </c>
      <c r="D48" s="151">
        <v>1.0999999999999999E-2</v>
      </c>
      <c r="E48" s="151">
        <v>0.8</v>
      </c>
      <c r="F48" s="151">
        <v>1</v>
      </c>
      <c r="H48" s="150">
        <v>2048</v>
      </c>
      <c r="I48" s="152">
        <v>201.55</v>
      </c>
      <c r="J48" s="28">
        <f t="shared" si="0"/>
        <v>1.6633655195180326</v>
      </c>
    </row>
    <row r="49" spans="2:10" ht="14.5">
      <c r="B49" s="150">
        <v>2049</v>
      </c>
      <c r="C49" s="151">
        <v>1.1200000000000001</v>
      </c>
      <c r="D49" s="151">
        <v>1.0999999999999999E-2</v>
      </c>
      <c r="E49" s="151">
        <v>0.8</v>
      </c>
      <c r="F49" s="151">
        <v>1</v>
      </c>
      <c r="H49" s="150">
        <v>2049</v>
      </c>
      <c r="I49" s="152">
        <v>205.95</v>
      </c>
      <c r="J49" s="28">
        <f t="shared" si="0"/>
        <v>1.6996781381530079</v>
      </c>
    </row>
    <row r="50" spans="2:10" ht="14.5">
      <c r="B50" s="150">
        <v>2050</v>
      </c>
      <c r="C50" s="151">
        <v>1.1200000000000001</v>
      </c>
      <c r="D50" s="151">
        <v>1.0999999999999999E-2</v>
      </c>
      <c r="E50" s="151">
        <v>0.8</v>
      </c>
      <c r="F50" s="151">
        <v>1</v>
      </c>
      <c r="H50" s="150">
        <v>2050</v>
      </c>
      <c r="I50" s="152">
        <v>210.44</v>
      </c>
      <c r="J50" s="28">
        <f t="shared" si="0"/>
        <v>1.7367335148964265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AEF83-0E8D-4352-9545-A413458B1483}">
  <sheetPr codeName="Sheet3"/>
  <dimension ref="A2:D32"/>
  <sheetViews>
    <sheetView workbookViewId="0"/>
  </sheetViews>
  <sheetFormatPr defaultRowHeight="14"/>
  <cols>
    <col min="1" max="1" width="38.75" bestFit="1" customWidth="1"/>
    <col min="2" max="2" width="14.75" bestFit="1" customWidth="1"/>
  </cols>
  <sheetData>
    <row r="2" spans="1:4">
      <c r="B2" s="42" t="s">
        <v>194</v>
      </c>
      <c r="C2" t="s">
        <v>195</v>
      </c>
    </row>
    <row r="3" spans="1:4">
      <c r="B3" s="42" t="s">
        <v>8</v>
      </c>
      <c r="C3" t="s">
        <v>196</v>
      </c>
    </row>
    <row r="5" spans="1:4">
      <c r="A5" t="s">
        <v>13</v>
      </c>
      <c r="B5" t="s">
        <v>14</v>
      </c>
      <c r="C5" t="s">
        <v>6</v>
      </c>
      <c r="D5">
        <v>2024</v>
      </c>
    </row>
    <row r="6" spans="1:4">
      <c r="A6" t="s">
        <v>21</v>
      </c>
      <c r="B6" t="s">
        <v>197</v>
      </c>
      <c r="C6" t="s">
        <v>175</v>
      </c>
      <c r="D6" s="1">
        <v>4148.5300000000007</v>
      </c>
    </row>
    <row r="7" spans="1:4">
      <c r="A7" t="s">
        <v>23</v>
      </c>
      <c r="B7" t="s">
        <v>197</v>
      </c>
      <c r="C7" t="s">
        <v>175</v>
      </c>
      <c r="D7" s="1">
        <v>1570.0499999999997</v>
      </c>
    </row>
    <row r="8" spans="1:4">
      <c r="A8" t="s">
        <v>198</v>
      </c>
      <c r="B8" t="s">
        <v>197</v>
      </c>
      <c r="C8" t="s">
        <v>175</v>
      </c>
      <c r="D8" s="1">
        <v>48</v>
      </c>
    </row>
    <row r="9" spans="1:4">
      <c r="A9" t="s">
        <v>24</v>
      </c>
      <c r="B9" t="s">
        <v>197</v>
      </c>
      <c r="C9" t="s">
        <v>175</v>
      </c>
      <c r="D9" s="1">
        <v>6075</v>
      </c>
    </row>
    <row r="10" spans="1:4">
      <c r="A10" t="s">
        <v>25</v>
      </c>
      <c r="B10" t="s">
        <v>197</v>
      </c>
      <c r="C10" t="s">
        <v>175</v>
      </c>
      <c r="D10" s="1">
        <v>15136.249999999996</v>
      </c>
    </row>
    <row r="11" spans="1:4">
      <c r="A11" t="s">
        <v>26</v>
      </c>
      <c r="B11" t="s">
        <v>197</v>
      </c>
      <c r="C11" t="s">
        <v>175</v>
      </c>
      <c r="D11" s="1">
        <v>1606.15</v>
      </c>
    </row>
    <row r="12" spans="1:4">
      <c r="A12" t="s">
        <v>27</v>
      </c>
      <c r="B12" t="s">
        <v>197</v>
      </c>
      <c r="C12" t="s">
        <v>175</v>
      </c>
      <c r="D12" s="1">
        <v>990.07</v>
      </c>
    </row>
    <row r="13" spans="1:4">
      <c r="A13" t="s">
        <v>28</v>
      </c>
      <c r="B13" t="s">
        <v>197</v>
      </c>
      <c r="C13" t="s">
        <v>175</v>
      </c>
      <c r="D13" s="1">
        <v>190.1</v>
      </c>
    </row>
    <row r="14" spans="1:4">
      <c r="A14" t="s">
        <v>199</v>
      </c>
      <c r="B14" t="s">
        <v>197</v>
      </c>
      <c r="C14" t="s">
        <v>175</v>
      </c>
      <c r="D14" s="1">
        <v>1614.06</v>
      </c>
    </row>
    <row r="15" spans="1:4">
      <c r="A15" t="s">
        <v>29</v>
      </c>
      <c r="B15" t="s">
        <v>197</v>
      </c>
      <c r="C15" t="s">
        <v>175</v>
      </c>
      <c r="D15" s="1">
        <v>132</v>
      </c>
    </row>
    <row r="16" spans="1:4">
      <c r="A16" t="s">
        <v>30</v>
      </c>
      <c r="B16" t="s">
        <v>197</v>
      </c>
      <c r="C16" t="s">
        <v>175</v>
      </c>
      <c r="D16" s="1">
        <v>29302.19</v>
      </c>
    </row>
    <row r="17" spans="1:4">
      <c r="A17" t="s">
        <v>31</v>
      </c>
      <c r="B17" t="s">
        <v>197</v>
      </c>
      <c r="C17" t="s">
        <v>175</v>
      </c>
      <c r="D17" s="1">
        <v>0</v>
      </c>
    </row>
    <row r="18" spans="1:4">
      <c r="A18" t="s">
        <v>32</v>
      </c>
      <c r="B18" t="s">
        <v>197</v>
      </c>
      <c r="C18" t="s">
        <v>175</v>
      </c>
      <c r="D18" s="1">
        <v>0</v>
      </c>
    </row>
    <row r="19" spans="1:4">
      <c r="A19" t="s">
        <v>33</v>
      </c>
      <c r="B19" t="s">
        <v>197</v>
      </c>
      <c r="C19" t="s">
        <v>175</v>
      </c>
      <c r="D19" s="1">
        <v>0</v>
      </c>
    </row>
    <row r="20" spans="1:4">
      <c r="A20" t="s">
        <v>200</v>
      </c>
      <c r="B20" t="s">
        <v>197</v>
      </c>
      <c r="C20" t="s">
        <v>175</v>
      </c>
      <c r="D20" s="1">
        <v>1988</v>
      </c>
    </row>
    <row r="21" spans="1:4">
      <c r="A21" t="s">
        <v>50</v>
      </c>
      <c r="B21" t="s">
        <v>197</v>
      </c>
      <c r="C21" t="s">
        <v>175</v>
      </c>
      <c r="D21" s="1">
        <v>1300.79</v>
      </c>
    </row>
    <row r="22" spans="1:4">
      <c r="A22" t="s">
        <v>34</v>
      </c>
      <c r="B22" t="s">
        <v>197</v>
      </c>
      <c r="C22" t="s">
        <v>175</v>
      </c>
      <c r="D22" s="1">
        <v>2360.5999999999995</v>
      </c>
    </row>
    <row r="23" spans="1:4">
      <c r="A23" t="s">
        <v>35</v>
      </c>
      <c r="B23" t="s">
        <v>197</v>
      </c>
      <c r="C23" t="s">
        <v>175</v>
      </c>
      <c r="D23" s="1">
        <v>2153.89</v>
      </c>
    </row>
    <row r="24" spans="1:4">
      <c r="A24" t="s">
        <v>36</v>
      </c>
      <c r="B24" t="s">
        <v>197</v>
      </c>
      <c r="C24" t="s">
        <v>175</v>
      </c>
      <c r="D24" s="1">
        <v>2298.7800000000002</v>
      </c>
    </row>
    <row r="25" spans="1:4">
      <c r="A25" t="s">
        <v>37</v>
      </c>
      <c r="B25" t="s">
        <v>197</v>
      </c>
      <c r="C25" t="s">
        <v>175</v>
      </c>
      <c r="D25" s="1">
        <v>15702.6</v>
      </c>
    </row>
    <row r="26" spans="1:4">
      <c r="A26" t="s">
        <v>38</v>
      </c>
      <c r="B26" t="s">
        <v>197</v>
      </c>
      <c r="C26" t="s">
        <v>175</v>
      </c>
      <c r="D26" s="1">
        <v>13664.229999999998</v>
      </c>
    </row>
    <row r="27" spans="1:4">
      <c r="A27" t="s">
        <v>39</v>
      </c>
      <c r="B27" t="s">
        <v>197</v>
      </c>
      <c r="C27" t="s">
        <v>175</v>
      </c>
      <c r="D27" s="1">
        <v>2744</v>
      </c>
    </row>
    <row r="28" spans="1:4">
      <c r="A28" t="s">
        <v>40</v>
      </c>
      <c r="B28" t="s">
        <v>197</v>
      </c>
      <c r="C28" t="s">
        <v>175</v>
      </c>
      <c r="D28" s="1">
        <v>1347.6</v>
      </c>
    </row>
    <row r="29" spans="1:4">
      <c r="A29" t="s">
        <v>41</v>
      </c>
      <c r="B29" t="s">
        <v>197</v>
      </c>
      <c r="C29" t="s">
        <v>175</v>
      </c>
      <c r="D29" s="1">
        <v>519.53000000000009</v>
      </c>
    </row>
    <row r="30" spans="1:4">
      <c r="A30" t="s">
        <v>42</v>
      </c>
      <c r="B30" t="s">
        <v>197</v>
      </c>
      <c r="C30" t="s">
        <v>175</v>
      </c>
      <c r="D30" s="1">
        <v>107.8</v>
      </c>
    </row>
    <row r="31" spans="1:4">
      <c r="A31" t="s">
        <v>43</v>
      </c>
      <c r="B31" t="s">
        <v>197</v>
      </c>
      <c r="C31" t="s">
        <v>175</v>
      </c>
      <c r="D31" s="1">
        <v>48.76</v>
      </c>
    </row>
    <row r="32" spans="1:4">
      <c r="A32" t="s">
        <v>44</v>
      </c>
      <c r="B32" t="s">
        <v>197</v>
      </c>
      <c r="C32" t="s">
        <v>175</v>
      </c>
      <c r="D32" s="1">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78703-8BFE-4620-9D30-0447B0602358}">
  <sheetPr codeName="Sheet8"/>
  <dimension ref="A1:AO107"/>
  <sheetViews>
    <sheetView topLeftCell="A24" workbookViewId="0">
      <selection activeCell="F32" sqref="F32"/>
    </sheetView>
  </sheetViews>
  <sheetFormatPr defaultRowHeight="14"/>
  <cols>
    <col min="1" max="1" width="1.75" customWidth="1"/>
    <col min="3" max="8" width="21.75" customWidth="1"/>
    <col min="9" max="9" width="27.75" customWidth="1"/>
    <col min="11" max="11" width="10.75" customWidth="1"/>
    <col min="12" max="12" width="24.4140625" bestFit="1" customWidth="1"/>
    <col min="13" max="13" width="12" customWidth="1"/>
    <col min="14" max="14" width="12.75" bestFit="1" customWidth="1"/>
  </cols>
  <sheetData>
    <row r="1" spans="1:12" ht="10.4" customHeight="1"/>
    <row r="2" spans="1:12">
      <c r="A2" s="2"/>
      <c r="B2" s="3" t="s">
        <v>212</v>
      </c>
      <c r="C2" s="2"/>
      <c r="D2" s="2"/>
    </row>
    <row r="4" spans="1:12">
      <c r="B4" s="96" t="s">
        <v>8</v>
      </c>
      <c r="C4" s="62" t="s">
        <v>213</v>
      </c>
      <c r="L4" s="4"/>
    </row>
    <row r="5" spans="1:12">
      <c r="L5" s="4"/>
    </row>
    <row r="6" spans="1:12">
      <c r="C6" s="5" t="s">
        <v>214</v>
      </c>
      <c r="D6" s="5" t="s">
        <v>215</v>
      </c>
      <c r="L6" s="4"/>
    </row>
    <row r="7" spans="1:12">
      <c r="C7" t="s">
        <v>21</v>
      </c>
      <c r="D7" s="13">
        <f>IFERROR(INDEX('2024Capacities'!$D$6:$D$32, MATCH(C7, '2024Capacities'!$A$6:$A$32, 0)), 0)</f>
        <v>4148.5300000000007</v>
      </c>
      <c r="E7" s="13"/>
      <c r="L7" s="4"/>
    </row>
    <row r="8" spans="1:12">
      <c r="C8" t="s">
        <v>24</v>
      </c>
      <c r="D8" s="13">
        <f>IFERROR(INDEX('2024Capacities'!$D$6:$D$32, MATCH(C8, '2024Capacities'!$A$6:$A$32, 0)), 0)</f>
        <v>6075</v>
      </c>
      <c r="E8" s="13"/>
      <c r="L8" s="4"/>
    </row>
    <row r="9" spans="1:12">
      <c r="C9" t="s">
        <v>25</v>
      </c>
      <c r="D9" s="13">
        <f>IFERROR(INDEX('2024Capacities'!$D$6:$D$32, MATCH(C9, '2024Capacities'!$A$6:$A$32, 0)), 0)</f>
        <v>15136.249999999996</v>
      </c>
      <c r="E9" s="13"/>
      <c r="L9" s="4"/>
    </row>
    <row r="10" spans="1:12">
      <c r="C10" t="s">
        <v>26</v>
      </c>
      <c r="D10" s="13">
        <f>IFERROR(INDEX('2024Capacities'!$D$6:$D$32, MATCH(C10, '2024Capacities'!$A$6:$A$32, 0)), 0)</f>
        <v>1606.15</v>
      </c>
      <c r="E10" s="13"/>
      <c r="L10" s="4"/>
    </row>
    <row r="11" spans="1:12">
      <c r="C11" t="s">
        <v>216</v>
      </c>
      <c r="D11" s="13">
        <f>IFERROR(INDEX('2024Capacities'!$D$6:$D$32, MATCH(C11, '2024Capacities'!$A$6:$A$32, 0)), 0)</f>
        <v>0</v>
      </c>
      <c r="E11" s="13"/>
      <c r="L11" s="4"/>
    </row>
    <row r="12" spans="1:12">
      <c r="C12" t="s">
        <v>209</v>
      </c>
      <c r="D12" s="13">
        <f>IFERROR(INDEX('2024Capacities'!$D$6:$D$32, MATCH(C12, '2024Capacities'!$A$6:$A$32, 0)), 0)</f>
        <v>0</v>
      </c>
      <c r="E12" s="13"/>
      <c r="L12" s="4"/>
    </row>
    <row r="13" spans="1:12">
      <c r="C13" t="s">
        <v>210</v>
      </c>
      <c r="D13" s="13">
        <f>IFERROR(INDEX('2024Capacities'!$D$6:$D$32, MATCH(C13, '2024Capacities'!$A$6:$A$32, 0)), 0)</f>
        <v>0</v>
      </c>
      <c r="E13" s="13"/>
    </row>
    <row r="14" spans="1:12">
      <c r="C14" t="s">
        <v>29</v>
      </c>
      <c r="D14" s="13">
        <f>IFERROR(INDEX('2024Capacities'!$D$6:$D$32, MATCH(C14, '2024Capacities'!$A$6:$A$32, 0)), 0)</f>
        <v>132</v>
      </c>
      <c r="E14" s="13"/>
    </row>
    <row r="15" spans="1:12">
      <c r="C15" t="s">
        <v>30</v>
      </c>
      <c r="D15" s="13">
        <f>IFERROR(INDEX('2024Capacities'!$D$6:$D$32, MATCH(C15, '2024Capacities'!$A$6:$A$32, 0)), 0)</f>
        <v>29302.19</v>
      </c>
      <c r="E15" s="13"/>
    </row>
    <row r="16" spans="1:12">
      <c r="C16" t="s">
        <v>31</v>
      </c>
      <c r="D16" s="13">
        <f>IFERROR(INDEX('2024Capacities'!$D$6:$D$32, MATCH(C16, '2024Capacities'!$A$6:$A$32, 0)), 0)</f>
        <v>0</v>
      </c>
      <c r="E16" s="13"/>
    </row>
    <row r="17" spans="3:5">
      <c r="C17" t="s">
        <v>32</v>
      </c>
      <c r="D17" s="13">
        <f>IFERROR(INDEX('2024Capacities'!$D$6:$D$32, MATCH(C17, '2024Capacities'!$A$6:$A$32, 0)), 0)</f>
        <v>0</v>
      </c>
      <c r="E17" s="13"/>
    </row>
    <row r="18" spans="3:5">
      <c r="C18" t="s">
        <v>33</v>
      </c>
      <c r="D18" s="13">
        <f>IFERROR(INDEX('2024Capacities'!$D$6:$D$32, MATCH(C18, '2024Capacities'!$A$6:$A$32, 0)), 0)</f>
        <v>0</v>
      </c>
      <c r="E18" s="13"/>
    </row>
    <row r="19" spans="3:5">
      <c r="C19" t="s">
        <v>34</v>
      </c>
      <c r="D19" s="13">
        <f>IFERROR(INDEX('2024Capacities'!$D$6:$D$32, MATCH(C19, '2024Capacities'!$A$6:$A$32, 0)), 0)</f>
        <v>2360.5999999999995</v>
      </c>
      <c r="E19" s="13"/>
    </row>
    <row r="20" spans="3:5">
      <c r="C20" t="s">
        <v>35</v>
      </c>
      <c r="D20" s="13">
        <f>IFERROR(INDEX('2024Capacities'!$D$6:$D$32, MATCH(C20, '2024Capacities'!$A$6:$A$32, 0)), 0)</f>
        <v>2153.89</v>
      </c>
      <c r="E20" s="13"/>
    </row>
    <row r="21" spans="3:5">
      <c r="C21" t="s">
        <v>36</v>
      </c>
      <c r="D21" s="13">
        <f>IFERROR(INDEX('2024Capacities'!$D$6:$D$32, MATCH(C21, '2024Capacities'!$A$6:$A$32, 0)), 0)</f>
        <v>2298.7800000000002</v>
      </c>
      <c r="E21" s="13"/>
    </row>
    <row r="22" spans="3:5">
      <c r="C22" t="s">
        <v>37</v>
      </c>
      <c r="D22" s="13">
        <f>IFERROR(INDEX('2024Capacities'!$D$6:$D$32, MATCH(C22, '2024Capacities'!$A$6:$A$32, 0)), 0)</f>
        <v>15702.6</v>
      </c>
      <c r="E22" s="13"/>
    </row>
    <row r="23" spans="3:5">
      <c r="C23" t="s">
        <v>38</v>
      </c>
      <c r="D23" s="13">
        <f>IFERROR(INDEX('2024Capacities'!$D$6:$D$32, MATCH(C23, '2024Capacities'!$A$6:$A$32, 0)), 0)</f>
        <v>13664.229999999998</v>
      </c>
      <c r="E23" s="13"/>
    </row>
    <row r="24" spans="3:5">
      <c r="C24" t="s">
        <v>39</v>
      </c>
      <c r="D24" s="13">
        <f>IFERROR(INDEX('2024Capacities'!$D$6:$D$32, MATCH(C24, '2024Capacities'!$A$6:$A$32, 0)), 0)</f>
        <v>2744</v>
      </c>
      <c r="E24" s="13"/>
    </row>
    <row r="25" spans="3:5">
      <c r="C25" t="s">
        <v>40</v>
      </c>
      <c r="D25" s="13">
        <f>IFERROR(INDEX('2024Capacities'!$D$6:$D$32, MATCH(C25, '2024Capacities'!$A$6:$A$32, 0)), 0)</f>
        <v>1347.6</v>
      </c>
      <c r="E25" s="13"/>
    </row>
    <row r="26" spans="3:5">
      <c r="C26" t="s">
        <v>41</v>
      </c>
      <c r="D26" s="13">
        <f>IFERROR(INDEX('2024Capacities'!$D$6:$D$32, MATCH(C26, '2024Capacities'!$A$6:$A$32, 0)), 0)</f>
        <v>519.53000000000009</v>
      </c>
      <c r="E26" s="13"/>
    </row>
    <row r="27" spans="3:5">
      <c r="C27" t="s">
        <v>42</v>
      </c>
      <c r="D27" s="13">
        <f>IFERROR(INDEX('2024Capacities'!$D$6:$D$32, MATCH(C27, '2024Capacities'!$A$6:$A$32, 0)), 0)</f>
        <v>107.8</v>
      </c>
      <c r="E27" s="13"/>
    </row>
    <row r="28" spans="3:5">
      <c r="C28" t="s">
        <v>43</v>
      </c>
      <c r="D28" s="13">
        <f>IFERROR(INDEX('2024Capacities'!$D$6:$D$32, MATCH(C28, '2024Capacities'!$A$6:$A$32, 0)), 0)</f>
        <v>48.76</v>
      </c>
      <c r="E28" s="13"/>
    </row>
    <row r="29" spans="3:5">
      <c r="C29" t="s">
        <v>44</v>
      </c>
      <c r="D29" s="13">
        <f>IFERROR(INDEX('2024Capacities'!$D$6:$D$32, MATCH(C29, '2024Capacities'!$A$6:$A$32, 0)), 0)</f>
        <v>0</v>
      </c>
      <c r="E29" s="13"/>
    </row>
    <row r="30" spans="3:5">
      <c r="C30" t="s">
        <v>204</v>
      </c>
      <c r="D30" s="22">
        <v>4586.3500000000004</v>
      </c>
    </row>
    <row r="31" spans="3:5">
      <c r="C31" t="s">
        <v>217</v>
      </c>
      <c r="D31" s="22">
        <v>8400</v>
      </c>
    </row>
    <row r="32" spans="3:5">
      <c r="D32" s="22"/>
    </row>
    <row r="33" spans="1:6">
      <c r="D33" s="21"/>
    </row>
    <row r="34" spans="1:6">
      <c r="A34" s="2"/>
      <c r="B34" s="3" t="s">
        <v>218</v>
      </c>
      <c r="C34" s="2"/>
      <c r="D34" s="2"/>
    </row>
    <row r="36" spans="1:6">
      <c r="B36" s="42" t="s">
        <v>8</v>
      </c>
      <c r="C36" t="s">
        <v>487</v>
      </c>
    </row>
    <row r="37" spans="1:6" ht="14.5">
      <c r="B37" s="42" t="s">
        <v>171</v>
      </c>
      <c r="C37" s="38" t="s">
        <v>219</v>
      </c>
    </row>
    <row r="39" spans="1:6">
      <c r="C39" t="s">
        <v>220</v>
      </c>
      <c r="D39" s="5" t="s">
        <v>221</v>
      </c>
      <c r="E39" s="5" t="s">
        <v>222</v>
      </c>
      <c r="F39" s="5" t="s">
        <v>223</v>
      </c>
    </row>
    <row r="40" spans="1:6">
      <c r="D40" s="23" t="s">
        <v>19</v>
      </c>
      <c r="E40" s="23" t="s">
        <v>48</v>
      </c>
      <c r="F40" s="23" t="s">
        <v>49</v>
      </c>
    </row>
    <row r="41" spans="1:6">
      <c r="D41" s="5" t="s">
        <v>224</v>
      </c>
      <c r="E41" s="5" t="s">
        <v>225</v>
      </c>
      <c r="F41" s="5" t="s">
        <v>201</v>
      </c>
    </row>
    <row r="42" spans="1:6">
      <c r="C42" t="s">
        <v>21</v>
      </c>
      <c r="D42" s="155">
        <v>3128.26</v>
      </c>
      <c r="E42" s="155">
        <v>2889.26</v>
      </c>
      <c r="F42" s="155">
        <v>3204.11</v>
      </c>
    </row>
    <row r="43" spans="1:6">
      <c r="C43" t="s">
        <v>24</v>
      </c>
      <c r="D43" s="155">
        <v>3515</v>
      </c>
      <c r="E43" s="155">
        <v>4130</v>
      </c>
      <c r="F43" s="155">
        <v>1845</v>
      </c>
    </row>
    <row r="44" spans="1:6">
      <c r="C44" t="s">
        <v>25</v>
      </c>
      <c r="D44" s="155">
        <v>47354</v>
      </c>
      <c r="E44" s="155">
        <v>47352</v>
      </c>
      <c r="F44" s="155">
        <v>21964.55</v>
      </c>
    </row>
    <row r="45" spans="1:6">
      <c r="C45" t="s">
        <v>26</v>
      </c>
      <c r="D45" s="155">
        <v>1868.56</v>
      </c>
      <c r="E45" s="155">
        <v>1868.56</v>
      </c>
      <c r="F45" s="155">
        <v>2036.7799999999997</v>
      </c>
    </row>
    <row r="46" spans="1:6">
      <c r="C46" t="s">
        <v>216</v>
      </c>
      <c r="D46" s="155">
        <v>612.53</v>
      </c>
      <c r="E46" s="155">
        <v>612.53</v>
      </c>
      <c r="F46" s="155"/>
    </row>
    <row r="47" spans="1:6">
      <c r="B47" s="13"/>
      <c r="C47" t="s">
        <v>209</v>
      </c>
      <c r="D47" s="155">
        <v>1447.86</v>
      </c>
      <c r="E47" s="155">
        <v>1447.86</v>
      </c>
      <c r="F47" s="155">
        <v>1921.6833220999999</v>
      </c>
    </row>
    <row r="48" spans="1:6">
      <c r="C48" t="s">
        <v>210</v>
      </c>
      <c r="D48" s="155">
        <v>146.47</v>
      </c>
      <c r="E48" s="155">
        <v>146.47</v>
      </c>
      <c r="F48" s="155"/>
    </row>
    <row r="49" spans="2:11">
      <c r="C49" t="s">
        <v>29</v>
      </c>
      <c r="D49" s="155">
        <v>132</v>
      </c>
      <c r="E49" s="155">
        <v>132</v>
      </c>
      <c r="F49" s="155">
        <v>132</v>
      </c>
    </row>
    <row r="50" spans="2:11">
      <c r="C50" t="s">
        <v>30</v>
      </c>
      <c r="D50" s="155">
        <v>28358</v>
      </c>
      <c r="E50" s="155">
        <v>28358</v>
      </c>
      <c r="F50" s="155">
        <v>27299</v>
      </c>
    </row>
    <row r="51" spans="2:11">
      <c r="C51" t="s">
        <v>31</v>
      </c>
      <c r="D51" s="155">
        <v>0</v>
      </c>
      <c r="E51" s="155">
        <v>1000</v>
      </c>
      <c r="F51" s="155">
        <v>0</v>
      </c>
    </row>
    <row r="52" spans="2:11">
      <c r="C52" t="s">
        <v>32</v>
      </c>
      <c r="D52" s="155">
        <v>450</v>
      </c>
      <c r="E52" s="155">
        <v>900</v>
      </c>
      <c r="F52" s="155">
        <v>0</v>
      </c>
    </row>
    <row r="53" spans="2:11">
      <c r="C53" t="s">
        <v>33</v>
      </c>
      <c r="D53" s="155">
        <v>0</v>
      </c>
      <c r="E53" s="155">
        <v>1410</v>
      </c>
      <c r="F53" s="155">
        <v>0</v>
      </c>
    </row>
    <row r="54" spans="2:11">
      <c r="C54" t="s">
        <v>34</v>
      </c>
      <c r="D54" s="155">
        <v>4049.1000000000004</v>
      </c>
      <c r="E54" s="155">
        <v>4049.1000000000004</v>
      </c>
      <c r="F54" s="155">
        <v>6197.39</v>
      </c>
    </row>
    <row r="55" spans="2:11">
      <c r="C55" t="s">
        <v>35</v>
      </c>
      <c r="D55" s="155">
        <v>4036.8899999999994</v>
      </c>
      <c r="E55" s="155">
        <v>4036.8899999999994</v>
      </c>
      <c r="F55" s="155">
        <v>3672.89</v>
      </c>
    </row>
    <row r="56" spans="2:11">
      <c r="C56" t="s">
        <v>36</v>
      </c>
      <c r="D56" s="155">
        <v>2298.7800000000002</v>
      </c>
      <c r="E56" s="155">
        <v>2298.7800000000002</v>
      </c>
      <c r="F56" s="155">
        <v>2298.7800000000002</v>
      </c>
    </row>
    <row r="57" spans="2:11">
      <c r="C57" t="s">
        <v>37</v>
      </c>
      <c r="D57" s="155">
        <v>50649.090000000004</v>
      </c>
      <c r="E57" s="155">
        <v>43119.09</v>
      </c>
      <c r="F57" s="155">
        <v>28580.6</v>
      </c>
      <c r="K57" s="124">
        <f>'Offshore network costs'!L7*D22</f>
        <v>0</v>
      </c>
    </row>
    <row r="58" spans="2:11">
      <c r="C58" t="s">
        <v>38</v>
      </c>
      <c r="D58" s="155">
        <v>27326.38</v>
      </c>
      <c r="E58" s="155">
        <v>27328.52</v>
      </c>
      <c r="F58" s="155">
        <v>20324.990000000002</v>
      </c>
      <c r="J58" s="7"/>
    </row>
    <row r="59" spans="2:11">
      <c r="B59" s="12"/>
      <c r="C59" t="s">
        <v>39</v>
      </c>
      <c r="D59" s="155">
        <v>5399.9</v>
      </c>
      <c r="E59" s="155">
        <v>4115.8999999999996</v>
      </c>
      <c r="F59" s="155">
        <v>2744</v>
      </c>
      <c r="J59" s="7"/>
    </row>
    <row r="60" spans="2:11">
      <c r="C60" t="s">
        <v>40</v>
      </c>
      <c r="D60" s="155">
        <v>1354.06</v>
      </c>
      <c r="E60" s="155">
        <v>1354.06</v>
      </c>
      <c r="F60" s="155">
        <v>1354.06</v>
      </c>
      <c r="J60" s="7"/>
    </row>
    <row r="61" spans="2:11">
      <c r="C61" t="s">
        <v>41</v>
      </c>
      <c r="D61" s="155">
        <v>543.25</v>
      </c>
      <c r="E61" s="155">
        <v>543.25</v>
      </c>
      <c r="F61" s="155">
        <v>525.63</v>
      </c>
      <c r="J61" s="7"/>
    </row>
    <row r="62" spans="2:11">
      <c r="C62" t="s">
        <v>42</v>
      </c>
      <c r="D62" s="155">
        <v>107.8</v>
      </c>
      <c r="E62" s="155">
        <v>107.8</v>
      </c>
      <c r="F62" s="155">
        <v>107.8</v>
      </c>
      <c r="J62" s="7"/>
    </row>
    <row r="63" spans="2:11">
      <c r="C63" t="s">
        <v>43</v>
      </c>
      <c r="D63" s="155">
        <v>254.36000000000004</v>
      </c>
      <c r="E63" s="155">
        <v>254.36000000000004</v>
      </c>
      <c r="F63" s="155">
        <v>61.86</v>
      </c>
      <c r="J63" s="7"/>
    </row>
    <row r="64" spans="2:11">
      <c r="C64" t="s">
        <v>44</v>
      </c>
      <c r="D64" s="155">
        <v>129.65</v>
      </c>
      <c r="E64" s="155">
        <v>129.65</v>
      </c>
      <c r="F64" s="155">
        <v>0</v>
      </c>
      <c r="J64" s="7"/>
    </row>
    <row r="65" spans="1:12">
      <c r="C65" t="s">
        <v>204</v>
      </c>
      <c r="D65" s="155">
        <v>29841.439999999999</v>
      </c>
      <c r="E65" s="155">
        <v>27841.439999999999</v>
      </c>
      <c r="F65" s="155">
        <v>19323</v>
      </c>
      <c r="J65" s="7"/>
    </row>
    <row r="66" spans="1:12">
      <c r="C66" t="s">
        <v>217</v>
      </c>
      <c r="D66" s="155">
        <v>12450</v>
      </c>
      <c r="E66" s="155">
        <v>12450</v>
      </c>
      <c r="F66" s="155">
        <v>11700</v>
      </c>
      <c r="I66" s="13"/>
      <c r="J66" s="7"/>
    </row>
    <row r="67" spans="1:12">
      <c r="L67" s="4"/>
    </row>
    <row r="68" spans="1:12">
      <c r="A68" s="8"/>
      <c r="B68" s="9" t="s">
        <v>226</v>
      </c>
      <c r="C68" s="8"/>
      <c r="D68" s="8"/>
    </row>
    <row r="69" spans="1:12">
      <c r="B69" s="10"/>
    </row>
    <row r="70" spans="1:12">
      <c r="D70" s="5" t="s">
        <v>221</v>
      </c>
      <c r="E70" s="5" t="s">
        <v>222</v>
      </c>
      <c r="F70" s="5" t="s">
        <v>223</v>
      </c>
    </row>
    <row r="71" spans="1:12">
      <c r="D71" s="23" t="s">
        <v>19</v>
      </c>
      <c r="E71" s="23" t="s">
        <v>48</v>
      </c>
      <c r="F71" s="23" t="s">
        <v>49</v>
      </c>
    </row>
    <row r="72" spans="1:12">
      <c r="D72" s="5" t="s">
        <v>224</v>
      </c>
      <c r="E72" s="5" t="s">
        <v>225</v>
      </c>
      <c r="F72" s="5" t="s">
        <v>201</v>
      </c>
    </row>
    <row r="73" spans="1:12">
      <c r="C73" t="s">
        <v>21</v>
      </c>
      <c r="D73" s="22">
        <f>IF(D42-$D7&lt;0, 0, D42-$D7)</f>
        <v>0</v>
      </c>
      <c r="E73" s="22">
        <f>IF(E42-$D7&lt;0, 0, E42-$D7)</f>
        <v>0</v>
      </c>
      <c r="F73" s="22">
        <f>IF(F42-$D7&lt;0, 0, F42-$D7)</f>
        <v>0</v>
      </c>
    </row>
    <row r="74" spans="1:12">
      <c r="C74" t="s">
        <v>24</v>
      </c>
      <c r="D74" s="22">
        <f>IF(D43-$D8&lt;0, 0, D43-$D8)+1670</f>
        <v>1670</v>
      </c>
      <c r="E74" s="22">
        <f>IF(E43-$D8&lt;0, 0, E43-$D8)+1670</f>
        <v>1670</v>
      </c>
      <c r="F74" s="22">
        <f>IF(F43-$D8&lt;0, 0, F43-$D8)+1670</f>
        <v>1670</v>
      </c>
    </row>
    <row r="75" spans="1:12">
      <c r="C75" t="s">
        <v>25</v>
      </c>
      <c r="D75" s="22">
        <f t="shared" ref="D75" si="0">IF(D44-$D9&lt;0, 0, D44-$D9)</f>
        <v>32217.750000000004</v>
      </c>
      <c r="E75" s="22">
        <f t="shared" ref="E75:F97" si="1">IF(E44-$D9&lt;0, 0, E44-$D9)</f>
        <v>32215.750000000004</v>
      </c>
      <c r="F75" s="22">
        <f t="shared" si="1"/>
        <v>6828.3000000000029</v>
      </c>
    </row>
    <row r="76" spans="1:12">
      <c r="C76" t="s">
        <v>26</v>
      </c>
      <c r="D76" s="22">
        <f t="shared" ref="D76" si="2">IF(D45-$D10&lt;0, 0, D45-$D10)</f>
        <v>262.40999999999985</v>
      </c>
      <c r="E76" s="22">
        <f t="shared" si="1"/>
        <v>262.40999999999985</v>
      </c>
      <c r="F76" s="22">
        <f t="shared" si="1"/>
        <v>430.62999999999965</v>
      </c>
    </row>
    <row r="77" spans="1:12">
      <c r="C77" t="s">
        <v>216</v>
      </c>
      <c r="D77" s="22">
        <f t="shared" ref="D77" si="3">IF(D46-$D11&lt;0, 0, D46-$D11)</f>
        <v>612.53</v>
      </c>
      <c r="E77" s="22">
        <f t="shared" si="1"/>
        <v>612.53</v>
      </c>
      <c r="F77" s="22">
        <f t="shared" si="1"/>
        <v>0</v>
      </c>
    </row>
    <row r="78" spans="1:12">
      <c r="C78" t="s">
        <v>209</v>
      </c>
      <c r="D78" s="22">
        <f>IF(D47-$D12&lt;0, 0, D47-$D12)</f>
        <v>1447.86</v>
      </c>
      <c r="E78" s="22">
        <f t="shared" si="1"/>
        <v>1447.86</v>
      </c>
      <c r="F78" s="22">
        <f t="shared" si="1"/>
        <v>1921.6833220999999</v>
      </c>
    </row>
    <row r="79" spans="1:12">
      <c r="C79" t="s">
        <v>210</v>
      </c>
      <c r="D79" s="22">
        <f t="shared" ref="D79" si="4">IF(D48-$D13&lt;0, 0, D48-$D13)</f>
        <v>146.47</v>
      </c>
      <c r="E79" s="22">
        <f t="shared" si="1"/>
        <v>146.47</v>
      </c>
      <c r="F79" s="22">
        <f t="shared" si="1"/>
        <v>0</v>
      </c>
    </row>
    <row r="80" spans="1:12">
      <c r="C80" t="s">
        <v>29</v>
      </c>
      <c r="D80" s="22">
        <f t="shared" ref="D80" si="5">IF(D49-$D14&lt;0, 0, D49-$D14)</f>
        <v>0</v>
      </c>
      <c r="E80" s="22">
        <f t="shared" si="1"/>
        <v>0</v>
      </c>
      <c r="F80" s="22">
        <f t="shared" si="1"/>
        <v>0</v>
      </c>
    </row>
    <row r="81" spans="3:6">
      <c r="C81" t="s">
        <v>30</v>
      </c>
      <c r="D81" s="22">
        <f t="shared" ref="D81" si="6">IF(D50-$D15&lt;0, 0, D50-$D15)</f>
        <v>0</v>
      </c>
      <c r="E81" s="22">
        <f t="shared" si="1"/>
        <v>0</v>
      </c>
      <c r="F81" s="22">
        <f t="shared" si="1"/>
        <v>0</v>
      </c>
    </row>
    <row r="82" spans="3:6">
      <c r="C82" t="s">
        <v>31</v>
      </c>
      <c r="D82" s="22">
        <f t="shared" ref="D82" si="7">IF(D51-$D16&lt;0, 0, D51-$D16)</f>
        <v>0</v>
      </c>
      <c r="E82" s="22">
        <f t="shared" si="1"/>
        <v>1000</v>
      </c>
      <c r="F82" s="22">
        <f t="shared" si="1"/>
        <v>0</v>
      </c>
    </row>
    <row r="83" spans="3:6">
      <c r="C83" t="s">
        <v>32</v>
      </c>
      <c r="D83" s="22">
        <f t="shared" ref="D83" si="8">IF(D52-$D17&lt;0, 0, D52-$D17)</f>
        <v>450</v>
      </c>
      <c r="E83" s="22">
        <f t="shared" si="1"/>
        <v>900</v>
      </c>
      <c r="F83" s="22">
        <f t="shared" si="1"/>
        <v>0</v>
      </c>
    </row>
    <row r="84" spans="3:6">
      <c r="C84" t="s">
        <v>33</v>
      </c>
      <c r="D84" s="22">
        <f t="shared" ref="D84" si="9">IF(D53-$D18&lt;0, 0, D53-$D18)</f>
        <v>0</v>
      </c>
      <c r="E84" s="22">
        <f t="shared" si="1"/>
        <v>1410</v>
      </c>
      <c r="F84" s="22">
        <f t="shared" si="1"/>
        <v>0</v>
      </c>
    </row>
    <row r="85" spans="3:6">
      <c r="C85" t="s">
        <v>34</v>
      </c>
      <c r="D85" s="22">
        <f t="shared" ref="D85" si="10">IF(D54-$D19&lt;0, 0, D54-$D19)</f>
        <v>1688.5000000000009</v>
      </c>
      <c r="E85" s="22">
        <f t="shared" si="1"/>
        <v>1688.5000000000009</v>
      </c>
      <c r="F85" s="22">
        <f t="shared" si="1"/>
        <v>3836.7900000000009</v>
      </c>
    </row>
    <row r="86" spans="3:6">
      <c r="C86" t="s">
        <v>35</v>
      </c>
      <c r="D86" s="22">
        <f t="shared" ref="D86" si="11">IF(D55-$D20&lt;0, 0, D55-$D20)</f>
        <v>1882.9999999999995</v>
      </c>
      <c r="E86" s="22">
        <f t="shared" si="1"/>
        <v>1882.9999999999995</v>
      </c>
      <c r="F86" s="22">
        <f t="shared" si="1"/>
        <v>1519</v>
      </c>
    </row>
    <row r="87" spans="3:6">
      <c r="C87" t="s">
        <v>36</v>
      </c>
      <c r="D87" s="22">
        <f>IF(D56-$D21&lt;0, 0, D56-$D21)</f>
        <v>0</v>
      </c>
      <c r="E87" s="22">
        <f t="shared" si="1"/>
        <v>0</v>
      </c>
      <c r="F87" s="22">
        <f t="shared" si="1"/>
        <v>0</v>
      </c>
    </row>
    <row r="88" spans="3:6">
      <c r="C88" t="s">
        <v>37</v>
      </c>
      <c r="D88" s="22">
        <f t="shared" ref="D88" si="12">IF(D57-$D22&lt;0, 0, D57-$D22)</f>
        <v>34946.490000000005</v>
      </c>
      <c r="E88" s="22">
        <f t="shared" si="1"/>
        <v>27416.489999999998</v>
      </c>
      <c r="F88" s="22">
        <f t="shared" si="1"/>
        <v>12877.999999999998</v>
      </c>
    </row>
    <row r="89" spans="3:6">
      <c r="C89" t="s">
        <v>38</v>
      </c>
      <c r="D89" s="22">
        <f t="shared" ref="D89" si="13">IF(D58-$D23&lt;0, 0, D58-$D23)</f>
        <v>13662.150000000003</v>
      </c>
      <c r="E89" s="22">
        <f t="shared" si="1"/>
        <v>13664.290000000003</v>
      </c>
      <c r="F89" s="22">
        <f t="shared" si="1"/>
        <v>6660.7600000000039</v>
      </c>
    </row>
    <row r="90" spans="3:6">
      <c r="C90" t="s">
        <v>39</v>
      </c>
      <c r="D90" s="22">
        <f t="shared" ref="D90" si="14">IF(D59-$D24&lt;0, 0, D59-$D24)</f>
        <v>2655.8999999999996</v>
      </c>
      <c r="E90" s="22">
        <f t="shared" si="1"/>
        <v>1371.8999999999996</v>
      </c>
      <c r="F90" s="22">
        <f t="shared" si="1"/>
        <v>0</v>
      </c>
    </row>
    <row r="91" spans="3:6">
      <c r="C91" t="s">
        <v>40</v>
      </c>
      <c r="D91" s="22">
        <f t="shared" ref="D91" si="15">IF(D60-$D25&lt;0, 0, D60-$D25)</f>
        <v>6.4600000000000364</v>
      </c>
      <c r="E91" s="22">
        <f t="shared" si="1"/>
        <v>6.4600000000000364</v>
      </c>
      <c r="F91" s="22">
        <f t="shared" si="1"/>
        <v>6.4600000000000364</v>
      </c>
    </row>
    <row r="92" spans="3:6">
      <c r="C92" t="s">
        <v>41</v>
      </c>
      <c r="D92" s="22">
        <f>IF(D61-$D26&lt;0, 0, D61-$D26)</f>
        <v>23.719999999999914</v>
      </c>
      <c r="E92" s="22">
        <f t="shared" si="1"/>
        <v>23.719999999999914</v>
      </c>
      <c r="F92" s="22">
        <f t="shared" si="1"/>
        <v>6.0999999999999091</v>
      </c>
    </row>
    <row r="93" spans="3:6">
      <c r="C93" t="s">
        <v>42</v>
      </c>
      <c r="D93" s="22">
        <f t="shared" ref="D93" si="16">IF(D62-$D27&lt;0, 0, D62-$D27)</f>
        <v>0</v>
      </c>
      <c r="E93" s="22">
        <f t="shared" si="1"/>
        <v>0</v>
      </c>
      <c r="F93" s="22">
        <f t="shared" si="1"/>
        <v>0</v>
      </c>
    </row>
    <row r="94" spans="3:6">
      <c r="C94" t="s">
        <v>43</v>
      </c>
      <c r="D94" s="22">
        <f t="shared" ref="D94" si="17">IF(D63-$D28&lt;0, 0, D63-$D28)</f>
        <v>205.60000000000005</v>
      </c>
      <c r="E94" s="22">
        <f t="shared" si="1"/>
        <v>205.60000000000005</v>
      </c>
      <c r="F94" s="22">
        <f t="shared" si="1"/>
        <v>13.100000000000001</v>
      </c>
    </row>
    <row r="95" spans="3:6">
      <c r="C95" t="s">
        <v>44</v>
      </c>
      <c r="D95" s="22">
        <f t="shared" ref="D95" si="18">IF(D64-$D29&lt;0, 0, D64-$D29)</f>
        <v>129.65</v>
      </c>
      <c r="E95" s="22">
        <f t="shared" si="1"/>
        <v>129.65</v>
      </c>
      <c r="F95" s="22">
        <f t="shared" si="1"/>
        <v>0</v>
      </c>
    </row>
    <row r="96" spans="3:6">
      <c r="C96" t="s">
        <v>204</v>
      </c>
      <c r="D96" s="22">
        <f t="shared" ref="D96" si="19">IF(D65-$D30&lt;0, 0, D65-$D30)</f>
        <v>25255.089999999997</v>
      </c>
      <c r="E96" s="22">
        <f t="shared" si="1"/>
        <v>23255.089999999997</v>
      </c>
      <c r="F96" s="22">
        <f t="shared" si="1"/>
        <v>14736.65</v>
      </c>
    </row>
    <row r="97" spans="3:41">
      <c r="C97" t="s">
        <v>217</v>
      </c>
      <c r="D97" s="22">
        <f>IF(D66-$D31&lt;0, 0, D66-$D31)</f>
        <v>4050</v>
      </c>
      <c r="E97" s="22">
        <f t="shared" si="1"/>
        <v>4050</v>
      </c>
      <c r="F97" s="22">
        <f t="shared" si="1"/>
        <v>3300</v>
      </c>
      <c r="AL97" t="s">
        <v>202</v>
      </c>
    </row>
    <row r="98" spans="3:41">
      <c r="AO98" t="s">
        <v>202</v>
      </c>
    </row>
    <row r="99" spans="3:41">
      <c r="AO99" t="s">
        <v>202</v>
      </c>
    </row>
    <row r="101" spans="3:41">
      <c r="AO101" t="s">
        <v>202</v>
      </c>
    </row>
    <row r="102" spans="3:41">
      <c r="AO102" t="s">
        <v>202</v>
      </c>
    </row>
    <row r="103" spans="3:41">
      <c r="AO103" t="s">
        <v>202</v>
      </c>
    </row>
    <row r="104" spans="3:41">
      <c r="AO104" t="s">
        <v>202</v>
      </c>
    </row>
    <row r="105" spans="3:41">
      <c r="AO105" t="s">
        <v>202</v>
      </c>
    </row>
    <row r="106" spans="3:41">
      <c r="AO106" t="s">
        <v>202</v>
      </c>
    </row>
    <row r="107" spans="3:41">
      <c r="AO107" t="s">
        <v>202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BC77F-8DA5-4780-8BA0-0B12F16453D0}">
  <sheetPr codeName="Sheet9"/>
  <dimension ref="B2:K27"/>
  <sheetViews>
    <sheetView workbookViewId="0"/>
  </sheetViews>
  <sheetFormatPr defaultRowHeight="14"/>
  <cols>
    <col min="2" max="2" width="23.75" customWidth="1"/>
    <col min="3" max="3" width="13.25" customWidth="1"/>
    <col min="6" max="6" width="10.25" customWidth="1"/>
    <col min="8" max="11" width="23.25" customWidth="1"/>
  </cols>
  <sheetData>
    <row r="2" spans="2:11" s="2" customFormat="1">
      <c r="B2" s="3" t="s">
        <v>227</v>
      </c>
    </row>
    <row r="4" spans="2:11" ht="14.5">
      <c r="B4" s="96" t="s">
        <v>228</v>
      </c>
      <c r="C4" s="38" t="s">
        <v>229</v>
      </c>
    </row>
    <row r="5" spans="2:11">
      <c r="B5" s="96" t="s">
        <v>230</v>
      </c>
      <c r="C5" t="s">
        <v>231</v>
      </c>
    </row>
    <row r="6" spans="2:11">
      <c r="C6" s="18"/>
    </row>
    <row r="7" spans="2:11" ht="28">
      <c r="B7" s="29" t="s">
        <v>214</v>
      </c>
      <c r="C7" s="29" t="s">
        <v>232</v>
      </c>
      <c r="D7" s="29" t="s">
        <v>138</v>
      </c>
      <c r="E7" s="29" t="s">
        <v>233</v>
      </c>
      <c r="F7" s="29" t="s">
        <v>234</v>
      </c>
      <c r="G7" s="29" t="s">
        <v>56</v>
      </c>
      <c r="H7" s="30" t="s">
        <v>235</v>
      </c>
      <c r="I7" s="31" t="s">
        <v>236</v>
      </c>
      <c r="J7" s="31" t="s">
        <v>237</v>
      </c>
      <c r="K7" s="31" t="s">
        <v>238</v>
      </c>
    </row>
    <row r="8" spans="2:11">
      <c r="B8" s="32" t="s">
        <v>204</v>
      </c>
      <c r="C8" s="33" t="s">
        <v>239</v>
      </c>
      <c r="D8" s="34" t="s">
        <v>167</v>
      </c>
      <c r="E8" s="32">
        <v>5</v>
      </c>
      <c r="F8" s="35">
        <v>15</v>
      </c>
      <c r="G8" s="37">
        <v>0.08</v>
      </c>
      <c r="H8" s="35">
        <v>546.44429175475705</v>
      </c>
      <c r="I8" s="35">
        <v>546.44429175475705</v>
      </c>
      <c r="J8" s="35">
        <v>546.44429175475705</v>
      </c>
      <c r="K8" s="35">
        <v>546.44429175475705</v>
      </c>
    </row>
    <row r="9" spans="2:11">
      <c r="B9" t="s">
        <v>204</v>
      </c>
      <c r="C9" s="25" t="s">
        <v>240</v>
      </c>
      <c r="D9" s="36" t="s">
        <v>241</v>
      </c>
      <c r="E9">
        <v>5</v>
      </c>
      <c r="F9" s="13"/>
      <c r="G9" s="26"/>
      <c r="H9" s="13">
        <v>8.2741014799154335</v>
      </c>
      <c r="I9" s="13">
        <v>8.2741014799154335</v>
      </c>
      <c r="J9" s="13">
        <v>8.2741014799154335</v>
      </c>
      <c r="K9" s="13">
        <v>8.2741014799154335</v>
      </c>
    </row>
    <row r="10" spans="2:11">
      <c r="B10" t="s">
        <v>204</v>
      </c>
      <c r="C10" s="25" t="s">
        <v>242</v>
      </c>
      <c r="D10" s="36" t="s">
        <v>243</v>
      </c>
      <c r="E10">
        <v>5</v>
      </c>
      <c r="F10" s="13"/>
      <c r="G10" s="26"/>
      <c r="H10" s="13">
        <v>0</v>
      </c>
      <c r="I10" s="13">
        <v>0</v>
      </c>
      <c r="J10" s="13">
        <v>0</v>
      </c>
      <c r="K10" s="13">
        <v>0</v>
      </c>
    </row>
    <row r="12" spans="2:11" s="2" customFormat="1">
      <c r="B12" s="3" t="s">
        <v>244</v>
      </c>
    </row>
    <row r="14" spans="2:11">
      <c r="B14" s="96" t="s">
        <v>245</v>
      </c>
      <c r="C14" s="18" t="s">
        <v>246</v>
      </c>
    </row>
    <row r="16" spans="2:11">
      <c r="C16" t="s">
        <v>247</v>
      </c>
      <c r="D16" t="s">
        <v>248</v>
      </c>
    </row>
    <row r="17" spans="2:11">
      <c r="B17" t="s">
        <v>249</v>
      </c>
      <c r="C17">
        <v>300</v>
      </c>
      <c r="D17" s="13">
        <f>C17*'XR&amp;Inflation'!E22/'XR&amp;Inflation'!C22/'XR&amp;Inflation'!J22</f>
        <v>266.20425688910228</v>
      </c>
    </row>
    <row r="18" spans="2:11">
      <c r="D18" s="13"/>
    </row>
    <row r="19" spans="2:11">
      <c r="C19" t="s">
        <v>250</v>
      </c>
    </row>
    <row r="20" spans="2:11" ht="14.5">
      <c r="B20" t="s">
        <v>251</v>
      </c>
      <c r="C20">
        <v>2</v>
      </c>
      <c r="D20" s="38" t="s">
        <v>252</v>
      </c>
    </row>
    <row r="23" spans="2:11">
      <c r="B23" t="s">
        <v>253</v>
      </c>
    </row>
    <row r="24" spans="2:11" ht="28">
      <c r="B24" s="29" t="s">
        <v>214</v>
      </c>
      <c r="C24" s="29" t="s">
        <v>232</v>
      </c>
      <c r="D24" s="29" t="s">
        <v>138</v>
      </c>
      <c r="E24" s="29" t="s">
        <v>233</v>
      </c>
      <c r="F24" s="29" t="s">
        <v>234</v>
      </c>
      <c r="G24" s="29" t="s">
        <v>56</v>
      </c>
      <c r="H24" s="30" t="s">
        <v>235</v>
      </c>
      <c r="I24" s="31" t="s">
        <v>236</v>
      </c>
      <c r="J24" s="31" t="s">
        <v>237</v>
      </c>
      <c r="K24" s="31" t="s">
        <v>238</v>
      </c>
    </row>
    <row r="25" spans="2:11">
      <c r="B25" s="32" t="s">
        <v>204</v>
      </c>
      <c r="C25" s="33" t="s">
        <v>239</v>
      </c>
      <c r="D25" s="34" t="s">
        <v>167</v>
      </c>
      <c r="E25" s="156">
        <v>5</v>
      </c>
      <c r="F25" s="157">
        <v>15</v>
      </c>
      <c r="G25" s="158">
        <v>0.08</v>
      </c>
      <c r="H25" s="159">
        <f>H8+$D$17*($C$20-1)</f>
        <v>812.64854864385939</v>
      </c>
      <c r="I25" s="159">
        <f>I8+$D$17*($C$20-1)</f>
        <v>812.64854864385939</v>
      </c>
      <c r="J25" s="159">
        <f t="shared" ref="J25:K25" si="0">J8+$D$17*($C$20-1)</f>
        <v>812.64854864385939</v>
      </c>
      <c r="K25" s="159">
        <f t="shared" si="0"/>
        <v>812.64854864385939</v>
      </c>
    </row>
    <row r="26" spans="2:11">
      <c r="B26" t="s">
        <v>204</v>
      </c>
      <c r="C26" s="25" t="s">
        <v>240</v>
      </c>
      <c r="D26" s="36" t="s">
        <v>241</v>
      </c>
      <c r="E26" s="1">
        <v>5</v>
      </c>
      <c r="F26" s="13"/>
      <c r="G26" s="26"/>
      <c r="H26" s="154">
        <v>8.2741014799154335</v>
      </c>
      <c r="I26" s="154">
        <v>8.2741014799154335</v>
      </c>
      <c r="J26" s="154">
        <v>8.2741014799154335</v>
      </c>
      <c r="K26" s="154">
        <v>8.2741014799154335</v>
      </c>
    </row>
    <row r="27" spans="2:11">
      <c r="B27" t="s">
        <v>204</v>
      </c>
      <c r="C27" s="25" t="s">
        <v>242</v>
      </c>
      <c r="D27" s="36" t="s">
        <v>243</v>
      </c>
      <c r="E27" s="1">
        <v>5</v>
      </c>
      <c r="F27" s="13"/>
      <c r="G27" s="26"/>
      <c r="H27" s="154">
        <v>0</v>
      </c>
      <c r="I27" s="154">
        <v>0</v>
      </c>
      <c r="J27" s="154">
        <v>0</v>
      </c>
      <c r="K27" s="154">
        <v>0</v>
      </c>
    </row>
  </sheetData>
  <hyperlinks>
    <hyperlink ref="C14" r:id="rId1" display="https://www.nrel.gov/docs/fy23osti/85332.pdf" xr:uid="{6F9D060E-6B06-4181-9489-6E62C6C58479}"/>
  </hyperlinks>
  <pageMargins left="0.7" right="0.7" top="0.75" bottom="0.75"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9694A-DEAC-484F-874A-E40E3D127E2E}">
  <sheetPr codeName="Sheet10"/>
  <dimension ref="B1:L90"/>
  <sheetViews>
    <sheetView topLeftCell="A55" workbookViewId="0"/>
  </sheetViews>
  <sheetFormatPr defaultRowHeight="14"/>
  <cols>
    <col min="1" max="1" width="1.75" customWidth="1"/>
    <col min="3" max="3" width="21.75" customWidth="1"/>
    <col min="4" max="4" width="44.25" bestFit="1" customWidth="1"/>
    <col min="5" max="5" width="28.25" bestFit="1" customWidth="1"/>
    <col min="6" max="12" width="23.25" customWidth="1"/>
  </cols>
  <sheetData>
    <row r="1" spans="2:12" ht="10.4" customHeight="1"/>
    <row r="3" spans="2:12" s="19" customFormat="1">
      <c r="B3" s="20" t="s">
        <v>254</v>
      </c>
    </row>
    <row r="5" spans="2:12">
      <c r="C5" s="160" t="s">
        <v>8</v>
      </c>
      <c r="D5" s="160" t="s">
        <v>255</v>
      </c>
      <c r="E5" s="160" t="s">
        <v>63</v>
      </c>
      <c r="F5" s="160" t="s">
        <v>256</v>
      </c>
    </row>
    <row r="6" spans="2:12">
      <c r="C6" s="39">
        <v>1</v>
      </c>
      <c r="D6" t="s">
        <v>257</v>
      </c>
      <c r="E6" s="18" t="s">
        <v>63</v>
      </c>
      <c r="F6">
        <v>2021</v>
      </c>
    </row>
    <row r="7" spans="2:12">
      <c r="C7" s="39">
        <v>2</v>
      </c>
      <c r="D7" t="s">
        <v>258</v>
      </c>
      <c r="E7" s="18" t="s">
        <v>63</v>
      </c>
      <c r="F7">
        <v>2018</v>
      </c>
    </row>
    <row r="8" spans="2:12">
      <c r="C8" s="39">
        <v>3</v>
      </c>
      <c r="D8" t="s">
        <v>259</v>
      </c>
      <c r="E8" s="18" t="s">
        <v>63</v>
      </c>
      <c r="F8">
        <v>2014</v>
      </c>
    </row>
    <row r="9" spans="2:12">
      <c r="C9" s="39">
        <v>4</v>
      </c>
      <c r="D9" t="s">
        <v>260</v>
      </c>
      <c r="E9" s="18" t="s">
        <v>63</v>
      </c>
      <c r="F9">
        <v>2020</v>
      </c>
    </row>
    <row r="10" spans="2:12">
      <c r="C10" s="39">
        <v>5</v>
      </c>
      <c r="D10" t="s">
        <v>261</v>
      </c>
      <c r="E10" s="18" t="s">
        <v>63</v>
      </c>
      <c r="F10">
        <v>2012</v>
      </c>
    </row>
    <row r="13" spans="2:12">
      <c r="C13" s="39"/>
      <c r="D13" s="170" t="s">
        <v>262</v>
      </c>
      <c r="E13" s="222" t="s">
        <v>229</v>
      </c>
    </row>
    <row r="15" spans="2:12" ht="28">
      <c r="C15" s="29" t="s">
        <v>214</v>
      </c>
      <c r="D15" s="29" t="s">
        <v>232</v>
      </c>
      <c r="E15" s="29" t="s">
        <v>138</v>
      </c>
      <c r="F15" s="29" t="s">
        <v>233</v>
      </c>
      <c r="G15" s="29" t="s">
        <v>234</v>
      </c>
      <c r="H15" s="29" t="s">
        <v>56</v>
      </c>
      <c r="I15" s="30" t="s">
        <v>235</v>
      </c>
      <c r="J15" s="31" t="s">
        <v>236</v>
      </c>
      <c r="K15" s="31" t="s">
        <v>237</v>
      </c>
      <c r="L15" s="31" t="s">
        <v>238</v>
      </c>
    </row>
    <row r="16" spans="2:12">
      <c r="C16" s="32" t="s">
        <v>24</v>
      </c>
      <c r="D16" s="33" t="s">
        <v>239</v>
      </c>
      <c r="E16" s="34" t="s">
        <v>167</v>
      </c>
      <c r="F16" s="32">
        <v>3</v>
      </c>
      <c r="G16" s="35">
        <v>60</v>
      </c>
      <c r="H16" s="140">
        <v>0.1</v>
      </c>
      <c r="I16" s="35">
        <v>5870.2855831037596</v>
      </c>
      <c r="J16" s="35">
        <v>5870.2855831037641</v>
      </c>
      <c r="K16" s="35">
        <v>5870.2855831037641</v>
      </c>
      <c r="L16" s="35">
        <v>5870.2855831037641</v>
      </c>
    </row>
    <row r="17" spans="3:12">
      <c r="C17" t="s">
        <v>24</v>
      </c>
      <c r="D17" s="25" t="s">
        <v>240</v>
      </c>
      <c r="E17" s="36" t="s">
        <v>241</v>
      </c>
      <c r="F17">
        <v>3</v>
      </c>
      <c r="G17" s="13"/>
      <c r="H17" s="26"/>
      <c r="I17" s="13">
        <v>98.527164489080164</v>
      </c>
      <c r="J17" s="13">
        <v>98.527164489080164</v>
      </c>
      <c r="K17" s="13">
        <v>98.527164489080164</v>
      </c>
      <c r="L17" s="13">
        <v>98.527164489080164</v>
      </c>
    </row>
    <row r="18" spans="3:12">
      <c r="C18" t="s">
        <v>24</v>
      </c>
      <c r="D18" s="25" t="s">
        <v>242</v>
      </c>
      <c r="E18" s="36" t="s">
        <v>243</v>
      </c>
      <c r="F18">
        <v>3</v>
      </c>
      <c r="G18" s="13"/>
      <c r="H18" s="26"/>
      <c r="I18" s="13">
        <v>6.7575757575757578</v>
      </c>
      <c r="J18" s="13">
        <v>6.7575757575757578</v>
      </c>
      <c r="K18" s="13">
        <v>6.7575757575757578</v>
      </c>
      <c r="L18" s="13">
        <v>6.7575757575757578</v>
      </c>
    </row>
    <row r="19" spans="3:12">
      <c r="C19" s="32" t="s">
        <v>21</v>
      </c>
      <c r="D19" s="33" t="s">
        <v>239</v>
      </c>
      <c r="E19" s="34" t="s">
        <v>167</v>
      </c>
      <c r="F19" s="32">
        <v>1</v>
      </c>
      <c r="G19" s="35">
        <v>25</v>
      </c>
      <c r="H19" s="37">
        <v>7.9000000000000001E-2</v>
      </c>
      <c r="I19" s="35">
        <v>4114.4707542499091</v>
      </c>
      <c r="J19" s="35">
        <v>4114.4707542499091</v>
      </c>
      <c r="K19" s="35">
        <v>4114.4707542499091</v>
      </c>
      <c r="L19" s="35">
        <v>4114.4707542499091</v>
      </c>
    </row>
    <row r="20" spans="3:12">
      <c r="C20" t="s">
        <v>21</v>
      </c>
      <c r="D20" s="25" t="s">
        <v>240</v>
      </c>
      <c r="E20" s="36" t="s">
        <v>241</v>
      </c>
      <c r="F20">
        <v>1</v>
      </c>
      <c r="G20" s="13"/>
      <c r="H20" s="26"/>
      <c r="I20" s="13">
        <v>108.14477064220185</v>
      </c>
      <c r="J20" s="13">
        <v>108.14477064220185</v>
      </c>
      <c r="K20" s="13">
        <v>108.14477064220185</v>
      </c>
      <c r="L20" s="13">
        <v>108.14477064220185</v>
      </c>
    </row>
    <row r="21" spans="3:12">
      <c r="C21" t="s">
        <v>21</v>
      </c>
      <c r="D21" s="25" t="s">
        <v>242</v>
      </c>
      <c r="E21" s="36" t="s">
        <v>243</v>
      </c>
      <c r="F21">
        <v>1</v>
      </c>
      <c r="G21" s="13"/>
      <c r="H21" s="26"/>
      <c r="I21" s="13">
        <v>8.5926605504587155</v>
      </c>
      <c r="J21" s="13">
        <v>8.5926605504587155</v>
      </c>
      <c r="K21" s="13">
        <v>8.5926605504587155</v>
      </c>
      <c r="L21" s="13">
        <v>8.5926605504587155</v>
      </c>
    </row>
    <row r="22" spans="3:12">
      <c r="C22" s="32" t="s">
        <v>32</v>
      </c>
      <c r="D22" s="33" t="s">
        <v>239</v>
      </c>
      <c r="E22" s="34" t="s">
        <v>167</v>
      </c>
      <c r="F22" s="32">
        <v>4</v>
      </c>
      <c r="G22" s="35">
        <v>30</v>
      </c>
      <c r="H22" s="37">
        <v>0.1</v>
      </c>
      <c r="I22" s="35">
        <v>1403.3418853974122</v>
      </c>
      <c r="J22" s="35">
        <v>1403.3418853974122</v>
      </c>
      <c r="K22" s="35">
        <v>1403.3418853974122</v>
      </c>
      <c r="L22" s="35">
        <v>1403.3418853974122</v>
      </c>
    </row>
    <row r="23" spans="3:12">
      <c r="C23" t="s">
        <v>32</v>
      </c>
      <c r="D23" s="25" t="s">
        <v>240</v>
      </c>
      <c r="E23" s="36" t="s">
        <v>241</v>
      </c>
      <c r="F23">
        <v>4</v>
      </c>
      <c r="G23" s="13"/>
      <c r="H23" s="26"/>
      <c r="I23" s="13">
        <v>53.977541589648801</v>
      </c>
      <c r="J23" s="13">
        <v>53.977541589648801</v>
      </c>
      <c r="K23" s="13">
        <v>53.977541589648801</v>
      </c>
      <c r="L23" s="13">
        <v>53.977541589648801</v>
      </c>
    </row>
    <row r="24" spans="3:12">
      <c r="C24" t="s">
        <v>32</v>
      </c>
      <c r="D24" s="25" t="s">
        <v>242</v>
      </c>
      <c r="E24" s="36" t="s">
        <v>243</v>
      </c>
      <c r="F24">
        <v>4</v>
      </c>
      <c r="G24" s="13"/>
      <c r="H24" s="26"/>
      <c r="I24" s="13">
        <v>9.6454713493530519</v>
      </c>
      <c r="J24" s="13">
        <v>9.6454713493530519</v>
      </c>
      <c r="K24" s="13">
        <v>9.6454713493530519</v>
      </c>
      <c r="L24" s="13">
        <v>9.6454713493530519</v>
      </c>
    </row>
    <row r="25" spans="3:12">
      <c r="C25" s="32" t="s">
        <v>37</v>
      </c>
      <c r="D25" s="33" t="s">
        <v>239</v>
      </c>
      <c r="E25" s="34" t="s">
        <v>167</v>
      </c>
      <c r="F25" s="32">
        <v>1</v>
      </c>
      <c r="G25" s="35">
        <v>30</v>
      </c>
      <c r="H25" s="37">
        <v>6.3E-2</v>
      </c>
      <c r="I25" s="35">
        <v>2079.7921100917429</v>
      </c>
      <c r="J25" s="35">
        <v>2722.1548623853214</v>
      </c>
      <c r="K25" s="35">
        <v>2387.4887124503261</v>
      </c>
      <c r="L25" s="35">
        <v>3541.2273695233944</v>
      </c>
    </row>
    <row r="26" spans="3:12">
      <c r="C26" t="s">
        <v>37</v>
      </c>
      <c r="D26" s="25" t="s">
        <v>240</v>
      </c>
      <c r="E26" s="36" t="s">
        <v>241</v>
      </c>
      <c r="F26">
        <v>1</v>
      </c>
      <c r="G26" s="13"/>
      <c r="H26" s="26"/>
      <c r="I26" s="13">
        <v>56.834311926605501</v>
      </c>
      <c r="J26" s="13">
        <v>56.834311926605501</v>
      </c>
      <c r="K26" s="13">
        <v>56.834311926605501</v>
      </c>
      <c r="L26" s="13">
        <v>56.834311926605501</v>
      </c>
    </row>
    <row r="27" spans="3:12">
      <c r="C27" t="s">
        <v>37</v>
      </c>
      <c r="D27" s="25" t="s">
        <v>242</v>
      </c>
      <c r="E27" s="36" t="s">
        <v>243</v>
      </c>
      <c r="F27">
        <v>1</v>
      </c>
      <c r="G27" s="13"/>
      <c r="H27" s="26"/>
      <c r="I27" s="13">
        <v>1.2275229357798165</v>
      </c>
      <c r="J27" s="13">
        <v>1.2275229357798165</v>
      </c>
      <c r="K27" s="13">
        <v>1.2275229357798165</v>
      </c>
      <c r="L27" s="13">
        <v>1.2275229357798165</v>
      </c>
    </row>
    <row r="28" spans="3:12">
      <c r="C28" s="32" t="s">
        <v>38</v>
      </c>
      <c r="D28" s="33" t="s">
        <v>239</v>
      </c>
      <c r="E28" s="34" t="s">
        <v>167</v>
      </c>
      <c r="F28" s="32">
        <v>1</v>
      </c>
      <c r="G28" s="35">
        <v>25</v>
      </c>
      <c r="H28" s="37">
        <v>5.1999999999999998E-2</v>
      </c>
      <c r="I28" s="35">
        <v>1600.7808358817533</v>
      </c>
      <c r="J28" s="35">
        <v>2004.9302001180322</v>
      </c>
      <c r="K28" s="35">
        <v>1664.4765749017979</v>
      </c>
      <c r="L28" s="35">
        <v>2185.6463409678463</v>
      </c>
    </row>
    <row r="29" spans="3:12">
      <c r="C29" t="s">
        <v>38</v>
      </c>
      <c r="D29" s="25" t="s">
        <v>240</v>
      </c>
      <c r="E29" s="36" t="s">
        <v>241</v>
      </c>
      <c r="F29">
        <v>1</v>
      </c>
      <c r="G29" s="13"/>
      <c r="H29" s="26"/>
      <c r="I29" s="13">
        <v>33.265871559633027</v>
      </c>
      <c r="J29" s="13">
        <v>33.265871559633027</v>
      </c>
      <c r="K29" s="13">
        <v>33.265871559633027</v>
      </c>
      <c r="L29" s="13">
        <v>33.265871559633027</v>
      </c>
    </row>
    <row r="30" spans="3:12">
      <c r="C30" t="s">
        <v>38</v>
      </c>
      <c r="D30" s="25" t="s">
        <v>242</v>
      </c>
      <c r="E30" s="36" t="s">
        <v>243</v>
      </c>
      <c r="F30">
        <v>1</v>
      </c>
      <c r="G30" s="13"/>
      <c r="H30" s="26"/>
      <c r="I30" s="13">
        <v>7.3651376146788987</v>
      </c>
      <c r="J30" s="13">
        <v>7.3651376146788987</v>
      </c>
      <c r="K30" s="13">
        <v>7.3651376146788987</v>
      </c>
      <c r="L30" s="13">
        <v>7.3651376146788987</v>
      </c>
    </row>
    <row r="31" spans="3:12">
      <c r="C31" s="32" t="s">
        <v>25</v>
      </c>
      <c r="D31" s="33" t="s">
        <v>239</v>
      </c>
      <c r="E31" s="34" t="s">
        <v>167</v>
      </c>
      <c r="F31" s="32">
        <v>1</v>
      </c>
      <c r="G31" s="35">
        <v>35</v>
      </c>
      <c r="H31" s="37">
        <v>0.05</v>
      </c>
      <c r="I31" s="35">
        <v>638.3119266055046</v>
      </c>
      <c r="J31" s="35">
        <v>662.86238532110087</v>
      </c>
      <c r="K31" s="35">
        <v>529.01517290049401</v>
      </c>
      <c r="L31" s="35">
        <v>669.23606210303456</v>
      </c>
    </row>
    <row r="32" spans="3:12">
      <c r="C32" t="s">
        <v>25</v>
      </c>
      <c r="D32" s="25" t="s">
        <v>240</v>
      </c>
      <c r="E32" s="36" t="s">
        <v>241</v>
      </c>
      <c r="F32">
        <v>1</v>
      </c>
      <c r="G32" s="13"/>
      <c r="H32" s="26"/>
      <c r="I32" s="13">
        <v>9.8201834862385322</v>
      </c>
      <c r="J32" s="13">
        <v>9.8201834862385322</v>
      </c>
      <c r="K32" s="13">
        <v>9.8201834862385322</v>
      </c>
      <c r="L32" s="13">
        <v>9.8201834862385322</v>
      </c>
    </row>
    <row r="33" spans="3:12">
      <c r="C33" t="s">
        <v>25</v>
      </c>
      <c r="D33" s="25" t="s">
        <v>242</v>
      </c>
      <c r="E33" s="36" t="s">
        <v>243</v>
      </c>
      <c r="F33">
        <v>1</v>
      </c>
      <c r="G33" s="13"/>
      <c r="H33" s="26"/>
      <c r="I33" s="13">
        <v>0</v>
      </c>
      <c r="J33" s="13">
        <v>0</v>
      </c>
      <c r="K33" s="13">
        <v>0</v>
      </c>
      <c r="L33" s="13">
        <v>0</v>
      </c>
    </row>
    <row r="34" spans="3:12">
      <c r="C34" s="32" t="s">
        <v>39</v>
      </c>
      <c r="D34" s="33" t="s">
        <v>239</v>
      </c>
      <c r="E34" s="34" t="s">
        <v>167</v>
      </c>
      <c r="F34" s="32">
        <v>3</v>
      </c>
      <c r="G34" s="35">
        <v>50</v>
      </c>
      <c r="H34" s="37">
        <v>7.4999999999999997E-2</v>
      </c>
      <c r="I34" s="35">
        <v>1461.8888888888891</v>
      </c>
      <c r="J34" s="35">
        <v>1461.8888888888891</v>
      </c>
      <c r="K34" s="35">
        <v>1461.8888888888891</v>
      </c>
      <c r="L34" s="35">
        <v>1461.8888888888891</v>
      </c>
    </row>
    <row r="35" spans="3:12">
      <c r="C35" t="s">
        <v>39</v>
      </c>
      <c r="D35" s="25" t="s">
        <v>240</v>
      </c>
      <c r="E35" s="36" t="s">
        <v>241</v>
      </c>
      <c r="F35">
        <v>3</v>
      </c>
      <c r="G35" s="13"/>
      <c r="H35" s="26"/>
      <c r="I35" s="13">
        <v>15.14303258595629</v>
      </c>
      <c r="J35" s="13">
        <v>15.14303258595629</v>
      </c>
      <c r="K35" s="13">
        <v>15.14303258595629</v>
      </c>
      <c r="L35" s="13">
        <v>15.14303258595629</v>
      </c>
    </row>
    <row r="36" spans="3:12">
      <c r="C36" t="s">
        <v>39</v>
      </c>
      <c r="D36" s="25" t="s">
        <v>242</v>
      </c>
      <c r="E36" s="36" t="s">
        <v>243</v>
      </c>
      <c r="F36">
        <v>3</v>
      </c>
      <c r="G36" s="13"/>
      <c r="H36" s="26"/>
      <c r="I36" s="13">
        <v>56.763636363636365</v>
      </c>
      <c r="J36" s="13">
        <v>56.763636363636365</v>
      </c>
      <c r="K36" s="13">
        <v>56.763636363636365</v>
      </c>
      <c r="L36" s="13">
        <v>56.763636363636365</v>
      </c>
    </row>
    <row r="37" spans="3:12">
      <c r="C37" s="32" t="s">
        <v>30</v>
      </c>
      <c r="D37" s="33" t="s">
        <v>239</v>
      </c>
      <c r="E37" s="34" t="s">
        <v>167</v>
      </c>
      <c r="F37" s="32">
        <v>1</v>
      </c>
      <c r="G37" s="35">
        <v>25</v>
      </c>
      <c r="H37" s="37">
        <v>7.4999999999999997E-2</v>
      </c>
      <c r="I37" s="35">
        <v>766.48577981651374</v>
      </c>
      <c r="J37" s="35">
        <v>766.48577981651374</v>
      </c>
      <c r="K37" s="35">
        <v>766.48577981651374</v>
      </c>
      <c r="L37" s="35">
        <v>766.48577981651374</v>
      </c>
    </row>
    <row r="38" spans="3:12">
      <c r="C38" t="s">
        <v>30</v>
      </c>
      <c r="D38" s="25" t="s">
        <v>240</v>
      </c>
      <c r="E38" s="36" t="s">
        <v>241</v>
      </c>
      <c r="F38">
        <v>1</v>
      </c>
      <c r="G38" s="13"/>
      <c r="H38" s="26"/>
      <c r="I38" s="13">
        <v>20.131376146788988</v>
      </c>
      <c r="J38" s="13">
        <v>20.131376146788988</v>
      </c>
      <c r="K38" s="13">
        <v>20.131376146788988</v>
      </c>
      <c r="L38" s="13">
        <v>20.131376146788988</v>
      </c>
    </row>
    <row r="39" spans="3:12">
      <c r="C39" t="s">
        <v>30</v>
      </c>
      <c r="D39" s="25" t="s">
        <v>242</v>
      </c>
      <c r="E39" s="36" t="s">
        <v>243</v>
      </c>
      <c r="F39">
        <v>1</v>
      </c>
      <c r="G39" s="13"/>
      <c r="H39" s="26"/>
      <c r="I39" s="13">
        <v>2.4550458715596331</v>
      </c>
      <c r="J39" s="13">
        <v>2.4550458715596331</v>
      </c>
      <c r="K39" s="13">
        <v>2.4550458715596331</v>
      </c>
      <c r="L39" s="13">
        <v>2.4550458715596331</v>
      </c>
    </row>
    <row r="40" spans="3:12">
      <c r="C40" s="32" t="s">
        <v>209</v>
      </c>
      <c r="D40" s="33" t="s">
        <v>239</v>
      </c>
      <c r="E40" s="34" t="s">
        <v>167</v>
      </c>
      <c r="F40" s="32">
        <v>1</v>
      </c>
      <c r="G40" s="35">
        <v>25</v>
      </c>
      <c r="H40" s="37">
        <v>0.09</v>
      </c>
      <c r="I40" s="35">
        <v>1181.1985583224116</v>
      </c>
      <c r="J40" s="35">
        <v>1181.1985583224116</v>
      </c>
      <c r="K40" s="35">
        <v>1181.1985583224116</v>
      </c>
      <c r="L40" s="35">
        <v>1181.1985583224116</v>
      </c>
    </row>
    <row r="41" spans="3:12">
      <c r="C41" t="s">
        <v>209</v>
      </c>
      <c r="D41" s="25" t="s">
        <v>240</v>
      </c>
      <c r="E41" s="36" t="s">
        <v>241</v>
      </c>
      <c r="F41">
        <v>1</v>
      </c>
      <c r="G41" s="13"/>
      <c r="H41" s="26"/>
      <c r="I41" s="13">
        <v>43.699816513761462</v>
      </c>
      <c r="J41" s="13">
        <v>43.699816513761462</v>
      </c>
      <c r="K41" s="13">
        <v>43.699816513761462</v>
      </c>
      <c r="L41" s="13">
        <v>43.699816513761462</v>
      </c>
    </row>
    <row r="42" spans="3:12">
      <c r="C42" t="s">
        <v>209</v>
      </c>
      <c r="D42" s="25" t="s">
        <v>242</v>
      </c>
      <c r="E42" s="36" t="s">
        <v>243</v>
      </c>
      <c r="F42">
        <v>1</v>
      </c>
      <c r="G42" s="13"/>
      <c r="H42" s="26"/>
      <c r="I42" s="13">
        <v>4.9100917431192661</v>
      </c>
      <c r="J42" s="13">
        <v>4.9100917431192661</v>
      </c>
      <c r="K42" s="13">
        <v>4.9100917431192661</v>
      </c>
      <c r="L42" s="13">
        <v>4.9100917431192661</v>
      </c>
    </row>
    <row r="43" spans="3:12">
      <c r="C43" s="32" t="s">
        <v>33</v>
      </c>
      <c r="D43" s="33" t="s">
        <v>239</v>
      </c>
      <c r="E43" s="34" t="s">
        <v>167</v>
      </c>
      <c r="F43" s="32">
        <v>3</v>
      </c>
      <c r="G43" s="35">
        <v>25</v>
      </c>
      <c r="H43" s="37">
        <v>0.09</v>
      </c>
      <c r="I43" s="35">
        <v>2791.7980427326224</v>
      </c>
      <c r="J43" s="35">
        <v>2791.7980427326224</v>
      </c>
      <c r="K43" s="35">
        <v>2791.7980427326224</v>
      </c>
      <c r="L43" s="35">
        <v>2791.7980427326224</v>
      </c>
    </row>
    <row r="44" spans="3:12">
      <c r="C44" t="s">
        <v>33</v>
      </c>
      <c r="D44" s="25" t="s">
        <v>240</v>
      </c>
      <c r="E44" s="36" t="s">
        <v>241</v>
      </c>
      <c r="F44">
        <v>3</v>
      </c>
      <c r="G44" s="13"/>
      <c r="H44" s="26"/>
      <c r="I44" s="13">
        <v>42.989818722352702</v>
      </c>
      <c r="J44" s="13">
        <v>42.989818722352702</v>
      </c>
      <c r="K44" s="13">
        <v>42.989818722352702</v>
      </c>
      <c r="L44" s="13">
        <v>42.989818722352702</v>
      </c>
    </row>
    <row r="45" spans="3:12">
      <c r="C45" t="s">
        <v>33</v>
      </c>
      <c r="D45" s="25" t="s">
        <v>242</v>
      </c>
      <c r="E45" s="36" t="s">
        <v>243</v>
      </c>
      <c r="F45">
        <v>3</v>
      </c>
      <c r="G45" s="13"/>
      <c r="H45" s="26"/>
      <c r="I45" s="13">
        <v>4.0545454545454547</v>
      </c>
      <c r="J45" s="13">
        <v>4.0545454545454547</v>
      </c>
      <c r="K45" s="13">
        <v>4.0545454545454547</v>
      </c>
      <c r="L45" s="13">
        <v>4.0545454545454547</v>
      </c>
    </row>
    <row r="46" spans="3:12">
      <c r="C46" s="32" t="s">
        <v>31</v>
      </c>
      <c r="D46" s="33" t="s">
        <v>239</v>
      </c>
      <c r="E46" s="34" t="s">
        <v>167</v>
      </c>
      <c r="F46" s="32">
        <v>1</v>
      </c>
      <c r="G46" s="35">
        <v>25</v>
      </c>
      <c r="H46" s="37">
        <v>0.09</v>
      </c>
      <c r="I46" s="35">
        <v>892.10229357798164</v>
      </c>
      <c r="J46" s="35">
        <v>892.10229357798164</v>
      </c>
      <c r="K46" s="35">
        <v>892.10229357798164</v>
      </c>
      <c r="L46" s="35">
        <v>892.10229357798164</v>
      </c>
    </row>
    <row r="47" spans="3:12">
      <c r="C47" t="s">
        <v>31</v>
      </c>
      <c r="D47" s="25" t="s">
        <v>240</v>
      </c>
      <c r="E47" s="36" t="s">
        <v>241</v>
      </c>
      <c r="F47">
        <v>1</v>
      </c>
      <c r="G47" s="13"/>
      <c r="H47" s="26"/>
      <c r="I47" s="13">
        <v>22.463669724770643</v>
      </c>
      <c r="J47" s="13">
        <v>22.463669724770643</v>
      </c>
      <c r="K47" s="13">
        <v>22.463669724770643</v>
      </c>
      <c r="L47" s="13">
        <v>22.463669724770643</v>
      </c>
    </row>
    <row r="48" spans="3:12">
      <c r="C48" t="s">
        <v>31</v>
      </c>
      <c r="D48" s="25" t="s">
        <v>242</v>
      </c>
      <c r="E48" s="36" t="s">
        <v>243</v>
      </c>
      <c r="F48">
        <v>1</v>
      </c>
      <c r="G48" s="13"/>
      <c r="H48" s="26"/>
      <c r="I48" s="13">
        <v>2.4550458715596331</v>
      </c>
      <c r="J48" s="13">
        <v>2.4550458715596331</v>
      </c>
      <c r="K48" s="13">
        <v>2.4550458715596331</v>
      </c>
      <c r="L48" s="13">
        <v>2.4550458715596331</v>
      </c>
    </row>
    <row r="49" spans="3:12">
      <c r="C49" s="32" t="s">
        <v>204</v>
      </c>
      <c r="D49" s="33" t="s">
        <v>239</v>
      </c>
      <c r="E49" s="34" t="s">
        <v>167</v>
      </c>
      <c r="F49" s="32">
        <v>5</v>
      </c>
      <c r="G49" s="35">
        <v>15</v>
      </c>
      <c r="H49" s="37">
        <v>0.08</v>
      </c>
      <c r="I49" s="35">
        <f>StorageAssumptions!H25</f>
        <v>812.64854864385939</v>
      </c>
      <c r="J49" s="35">
        <f>StorageAssumptions!I25</f>
        <v>812.64854864385939</v>
      </c>
      <c r="K49" s="35">
        <f>StorageAssumptions!J25</f>
        <v>812.64854864385939</v>
      </c>
      <c r="L49" s="35">
        <f>StorageAssumptions!K25</f>
        <v>812.64854864385939</v>
      </c>
    </row>
    <row r="50" spans="3:12">
      <c r="C50" t="s">
        <v>204</v>
      </c>
      <c r="D50" s="25" t="s">
        <v>240</v>
      </c>
      <c r="E50" s="36" t="s">
        <v>241</v>
      </c>
      <c r="F50">
        <v>5</v>
      </c>
      <c r="G50" s="13"/>
      <c r="H50" s="26"/>
      <c r="I50" s="13">
        <v>8.2741014799154335</v>
      </c>
      <c r="J50" s="13">
        <v>8.2741014799154335</v>
      </c>
      <c r="K50" s="13">
        <v>8.2741014799154335</v>
      </c>
      <c r="L50" s="13">
        <v>8.2741014799154335</v>
      </c>
    </row>
    <row r="51" spans="3:12">
      <c r="C51" t="s">
        <v>204</v>
      </c>
      <c r="D51" s="25" t="s">
        <v>242</v>
      </c>
      <c r="E51" s="36" t="s">
        <v>243</v>
      </c>
      <c r="F51">
        <v>5</v>
      </c>
      <c r="G51" s="13"/>
      <c r="H51" s="26"/>
      <c r="I51" s="13">
        <v>0</v>
      </c>
      <c r="J51" s="13">
        <v>0</v>
      </c>
      <c r="K51" s="13">
        <v>0</v>
      </c>
      <c r="L51" s="13">
        <v>0</v>
      </c>
    </row>
    <row r="52" spans="3:12">
      <c r="C52" s="32" t="s">
        <v>217</v>
      </c>
      <c r="D52" s="33" t="s">
        <v>239</v>
      </c>
      <c r="E52" s="34" t="s">
        <v>167</v>
      </c>
      <c r="F52" s="32">
        <v>0</v>
      </c>
      <c r="G52" s="35">
        <v>25</v>
      </c>
      <c r="H52" s="37">
        <v>0.09</v>
      </c>
      <c r="I52" s="35">
        <f>'IC CAPEX'!$F$22</f>
        <v>1753.1752139346895</v>
      </c>
      <c r="J52" s="35">
        <f>'IC CAPEX'!$F$22</f>
        <v>1753.1752139346895</v>
      </c>
      <c r="K52" s="35">
        <f>'IC CAPEX'!$F$22</f>
        <v>1753.1752139346895</v>
      </c>
      <c r="L52" s="35">
        <f>'IC CAPEX'!$F$22</f>
        <v>1753.1752139346895</v>
      </c>
    </row>
    <row r="53" spans="3:12">
      <c r="C53" t="s">
        <v>217</v>
      </c>
      <c r="D53" s="25" t="s">
        <v>240</v>
      </c>
      <c r="E53" s="36" t="s">
        <v>241</v>
      </c>
      <c r="F53">
        <v>0</v>
      </c>
      <c r="G53" s="13"/>
      <c r="H53" s="26"/>
      <c r="I53" s="13">
        <v>50</v>
      </c>
      <c r="J53" s="13">
        <v>50</v>
      </c>
      <c r="K53" s="13">
        <v>50</v>
      </c>
      <c r="L53" s="13">
        <v>50</v>
      </c>
    </row>
    <row r="54" spans="3:12">
      <c r="C54" t="s">
        <v>217</v>
      </c>
      <c r="D54" s="25" t="s">
        <v>242</v>
      </c>
      <c r="E54" s="36" t="s">
        <v>243</v>
      </c>
      <c r="F54">
        <v>0</v>
      </c>
      <c r="G54" s="13"/>
      <c r="H54" s="26"/>
      <c r="I54" s="13">
        <v>5</v>
      </c>
      <c r="J54" s="13">
        <v>5</v>
      </c>
      <c r="K54" s="13">
        <v>5</v>
      </c>
      <c r="L54" s="13">
        <v>5</v>
      </c>
    </row>
    <row r="55" spans="3:12">
      <c r="C55" s="32" t="s">
        <v>26</v>
      </c>
      <c r="D55" s="33" t="s">
        <v>239</v>
      </c>
      <c r="E55" s="34" t="s">
        <v>167</v>
      </c>
      <c r="F55" s="32">
        <v>1</v>
      </c>
      <c r="G55" s="35">
        <v>35</v>
      </c>
      <c r="H55" s="37">
        <v>6.5000000000000002E-2</v>
      </c>
      <c r="I55" s="35">
        <v>11828.007395401592</v>
      </c>
      <c r="J55" s="35">
        <v>11828.007395401592</v>
      </c>
      <c r="K55" s="35">
        <v>11828.007395401592</v>
      </c>
      <c r="L55" s="35">
        <v>11828.007395401592</v>
      </c>
    </row>
    <row r="56" spans="3:12">
      <c r="C56" t="s">
        <v>26</v>
      </c>
      <c r="D56" s="25" t="s">
        <v>240</v>
      </c>
      <c r="E56" s="36" t="s">
        <v>241</v>
      </c>
      <c r="F56">
        <v>1</v>
      </c>
      <c r="G56" s="13"/>
      <c r="H56" s="26"/>
      <c r="I56" s="13">
        <v>228.56477064220186</v>
      </c>
      <c r="J56" s="13">
        <v>228.56477064220186</v>
      </c>
      <c r="K56" s="13">
        <v>228.56477064220186</v>
      </c>
      <c r="L56" s="13">
        <v>228.56477064220186</v>
      </c>
    </row>
    <row r="57" spans="3:12">
      <c r="C57" t="s">
        <v>26</v>
      </c>
      <c r="D57" s="25" t="s">
        <v>242</v>
      </c>
      <c r="E57" s="36" t="s">
        <v>243</v>
      </c>
      <c r="F57">
        <v>1</v>
      </c>
      <c r="G57" s="13"/>
      <c r="H57" s="26"/>
      <c r="I57" s="13">
        <v>33.143119266055045</v>
      </c>
      <c r="J57" s="13">
        <v>33.143119266055045</v>
      </c>
      <c r="K57" s="13">
        <v>33.143119266055045</v>
      </c>
      <c r="L57" s="13">
        <v>33.143119266055045</v>
      </c>
    </row>
    <row r="58" spans="3:12">
      <c r="C58" s="32" t="s">
        <v>216</v>
      </c>
      <c r="D58" s="33" t="s">
        <v>239</v>
      </c>
      <c r="E58" s="34" t="s">
        <v>167</v>
      </c>
      <c r="F58" s="32">
        <v>1</v>
      </c>
      <c r="G58" s="35">
        <v>27</v>
      </c>
      <c r="H58" s="37">
        <v>6.5000000000000002E-2</v>
      </c>
      <c r="I58" s="35">
        <v>18059.31743119266</v>
      </c>
      <c r="J58" s="35">
        <v>16046.179816513761</v>
      </c>
      <c r="K58" s="35">
        <v>9244.6587904275839</v>
      </c>
      <c r="L58" s="35">
        <v>19553.827606746785</v>
      </c>
    </row>
    <row r="59" spans="3:12">
      <c r="C59" t="s">
        <v>216</v>
      </c>
      <c r="D59" s="25" t="s">
        <v>240</v>
      </c>
      <c r="E59" s="36" t="s">
        <v>241</v>
      </c>
      <c r="F59">
        <v>1</v>
      </c>
      <c r="G59" s="13"/>
      <c r="H59" s="26"/>
      <c r="I59" s="13">
        <v>228.56477064220186</v>
      </c>
      <c r="J59" s="13">
        <v>228.56477064220186</v>
      </c>
      <c r="K59" s="13">
        <v>228.56477064220186</v>
      </c>
      <c r="L59" s="13">
        <v>228.56477064220186</v>
      </c>
    </row>
    <row r="60" spans="3:12">
      <c r="C60" t="s">
        <v>216</v>
      </c>
      <c r="D60" s="25" t="s">
        <v>242</v>
      </c>
      <c r="E60" s="36" t="s">
        <v>243</v>
      </c>
      <c r="F60">
        <v>1</v>
      </c>
      <c r="G60" s="13"/>
      <c r="H60" s="26"/>
      <c r="I60" s="13">
        <v>74.878899082568807</v>
      </c>
      <c r="J60" s="13">
        <v>74.878899082568807</v>
      </c>
      <c r="K60" s="13">
        <v>74.878899082568807</v>
      </c>
      <c r="L60" s="13">
        <v>74.878899082568807</v>
      </c>
    </row>
    <row r="61" spans="3:12">
      <c r="C61" s="32" t="s">
        <v>210</v>
      </c>
      <c r="D61" s="33" t="s">
        <v>239</v>
      </c>
      <c r="E61" s="34" t="s">
        <v>167</v>
      </c>
      <c r="F61" s="32">
        <v>1</v>
      </c>
      <c r="G61" s="35">
        <v>25</v>
      </c>
      <c r="H61" s="37">
        <v>0.09</v>
      </c>
      <c r="I61" s="35">
        <v>892.10229357798164</v>
      </c>
      <c r="J61" s="35">
        <v>892.10229357798164</v>
      </c>
      <c r="K61" s="35">
        <v>892.10229357798164</v>
      </c>
      <c r="L61" s="35">
        <v>892.10229357798164</v>
      </c>
    </row>
    <row r="62" spans="3:12">
      <c r="C62" t="s">
        <v>210</v>
      </c>
      <c r="D62" s="25" t="s">
        <v>240</v>
      </c>
      <c r="E62" s="36" t="s">
        <v>241</v>
      </c>
      <c r="F62">
        <v>1</v>
      </c>
      <c r="G62" s="13"/>
      <c r="H62" s="26"/>
      <c r="I62" s="13">
        <v>22.463669724770643</v>
      </c>
      <c r="J62" s="13">
        <v>22.463669724770643</v>
      </c>
      <c r="K62" s="13">
        <v>22.463669724770643</v>
      </c>
      <c r="L62" s="13">
        <v>22.463669724770643</v>
      </c>
    </row>
    <row r="63" spans="3:12">
      <c r="C63" t="s">
        <v>210</v>
      </c>
      <c r="D63" s="25" t="s">
        <v>242</v>
      </c>
      <c r="E63" s="36" t="s">
        <v>243</v>
      </c>
      <c r="F63">
        <v>1</v>
      </c>
      <c r="G63" s="13"/>
      <c r="H63" s="26"/>
      <c r="I63" s="13">
        <v>2.4550458715596331</v>
      </c>
      <c r="J63" s="13">
        <v>2.4550458715596331</v>
      </c>
      <c r="K63" s="13">
        <v>2.4550458715596331</v>
      </c>
      <c r="L63" s="13">
        <v>2.4550458715596331</v>
      </c>
    </row>
    <row r="64" spans="3:12">
      <c r="C64" s="32" t="s">
        <v>29</v>
      </c>
      <c r="D64" s="33" t="s">
        <v>239</v>
      </c>
      <c r="E64" s="34" t="s">
        <v>167</v>
      </c>
      <c r="F64" s="32">
        <v>1</v>
      </c>
      <c r="G64" s="35">
        <v>24</v>
      </c>
      <c r="H64" s="37">
        <v>9.9000000000000005E-2</v>
      </c>
      <c r="I64" s="35">
        <v>7332.7872309002096</v>
      </c>
      <c r="J64" s="35">
        <v>7332.7872309002096</v>
      </c>
      <c r="K64" s="35">
        <v>5596.1747388486074</v>
      </c>
      <c r="L64" s="35">
        <v>8710.1830331977944</v>
      </c>
    </row>
    <row r="65" spans="3:12">
      <c r="C65" t="s">
        <v>29</v>
      </c>
      <c r="D65" s="25" t="s">
        <v>240</v>
      </c>
      <c r="E65" s="36" t="s">
        <v>241</v>
      </c>
      <c r="F65">
        <v>1</v>
      </c>
      <c r="G65" s="13"/>
      <c r="H65" s="26"/>
      <c r="I65" s="13">
        <v>353.89486238532112</v>
      </c>
      <c r="J65" s="13">
        <v>353.89486238532112</v>
      </c>
      <c r="K65" s="13">
        <v>353.89486238532112</v>
      </c>
      <c r="L65" s="13">
        <v>353.89486238532112</v>
      </c>
    </row>
    <row r="66" spans="3:12">
      <c r="C66" t="s">
        <v>29</v>
      </c>
      <c r="D66" s="25" t="s">
        <v>242</v>
      </c>
      <c r="E66" s="36" t="s">
        <v>243</v>
      </c>
      <c r="F66">
        <v>1</v>
      </c>
      <c r="G66" s="13"/>
      <c r="H66" s="26"/>
      <c r="I66" s="13">
        <v>12.275229357798166</v>
      </c>
      <c r="J66" s="13">
        <v>12.275229357798166</v>
      </c>
      <c r="K66" s="13">
        <v>12.275229357798166</v>
      </c>
      <c r="L66" s="13">
        <v>12.275229357798166</v>
      </c>
    </row>
    <row r="67" spans="3:12">
      <c r="C67" s="32" t="s">
        <v>34</v>
      </c>
      <c r="D67" s="33" t="s">
        <v>239</v>
      </c>
      <c r="E67" s="34" t="s">
        <v>167</v>
      </c>
      <c r="F67" s="32">
        <v>1</v>
      </c>
      <c r="G67" s="35">
        <v>15</v>
      </c>
      <c r="H67" s="37">
        <v>7.0999999999999994E-2</v>
      </c>
      <c r="I67" s="35">
        <v>619.89908256880733</v>
      </c>
      <c r="J67" s="35">
        <v>619.89908256880733</v>
      </c>
      <c r="K67" s="35">
        <v>619.89908256880733</v>
      </c>
      <c r="L67" s="35">
        <v>619.89908256880733</v>
      </c>
    </row>
    <row r="68" spans="3:12">
      <c r="C68" t="s">
        <v>34</v>
      </c>
      <c r="D68" s="25" t="s">
        <v>240</v>
      </c>
      <c r="E68" s="36" t="s">
        <v>241</v>
      </c>
      <c r="F68">
        <v>1</v>
      </c>
      <c r="G68" s="13"/>
      <c r="H68" s="26"/>
      <c r="I68" s="13">
        <v>15.344036697247706</v>
      </c>
      <c r="J68" s="13">
        <v>15.344036697247706</v>
      </c>
      <c r="K68" s="13">
        <v>15.344036697247706</v>
      </c>
      <c r="L68" s="13">
        <v>15.344036697247706</v>
      </c>
    </row>
    <row r="69" spans="3:12">
      <c r="C69" t="s">
        <v>34</v>
      </c>
      <c r="D69" s="25" t="s">
        <v>242</v>
      </c>
      <c r="E69" s="36" t="s">
        <v>243</v>
      </c>
      <c r="F69">
        <v>1</v>
      </c>
      <c r="G69" s="13"/>
      <c r="H69" s="26"/>
      <c r="I69" s="13">
        <v>0</v>
      </c>
      <c r="J69" s="13">
        <v>0</v>
      </c>
      <c r="K69" s="13">
        <v>0</v>
      </c>
      <c r="L69" s="13">
        <v>0</v>
      </c>
    </row>
    <row r="70" spans="3:12">
      <c r="C70" s="32" t="s">
        <v>35</v>
      </c>
      <c r="D70" s="33" t="s">
        <v>239</v>
      </c>
      <c r="E70" s="34" t="s">
        <v>167</v>
      </c>
      <c r="F70" s="32">
        <v>1</v>
      </c>
      <c r="G70" s="35">
        <v>25</v>
      </c>
      <c r="H70" s="37">
        <v>7.0999999999999994E-2</v>
      </c>
      <c r="I70" s="35">
        <v>426.7794488790841</v>
      </c>
      <c r="J70" s="35">
        <v>426.7794488790841</v>
      </c>
      <c r="K70" s="35">
        <v>426.7794488790841</v>
      </c>
      <c r="L70" s="35">
        <v>426.7794488790841</v>
      </c>
    </row>
    <row r="71" spans="3:12">
      <c r="C71" t="s">
        <v>35</v>
      </c>
      <c r="D71" s="25" t="s">
        <v>240</v>
      </c>
      <c r="E71" s="36" t="s">
        <v>241</v>
      </c>
      <c r="F71">
        <v>1</v>
      </c>
      <c r="G71" s="13"/>
      <c r="H71" s="26"/>
      <c r="I71" s="13">
        <v>7.9788990825688071</v>
      </c>
      <c r="J71" s="13">
        <v>7.9788990825688071</v>
      </c>
      <c r="K71" s="13">
        <v>7.9788990825688071</v>
      </c>
      <c r="L71" s="13">
        <v>7.9788990825688071</v>
      </c>
    </row>
    <row r="72" spans="3:12">
      <c r="C72" t="s">
        <v>35</v>
      </c>
      <c r="D72" s="25" t="s">
        <v>242</v>
      </c>
      <c r="E72" s="36" t="s">
        <v>243</v>
      </c>
      <c r="F72">
        <v>1</v>
      </c>
      <c r="G72" s="13"/>
      <c r="H72" s="26"/>
      <c r="I72" s="13">
        <v>1.2275229357798165</v>
      </c>
      <c r="J72" s="13">
        <v>1.2275229357798165</v>
      </c>
      <c r="K72" s="13">
        <v>1.2275229357798165</v>
      </c>
      <c r="L72" s="13">
        <v>1.2275229357798165</v>
      </c>
    </row>
    <row r="73" spans="3:12">
      <c r="C73" s="32" t="s">
        <v>36</v>
      </c>
      <c r="D73" s="33" t="s">
        <v>239</v>
      </c>
      <c r="E73" s="34" t="s">
        <v>167</v>
      </c>
      <c r="F73" s="32">
        <v>1</v>
      </c>
      <c r="G73" s="35">
        <v>25</v>
      </c>
      <c r="H73" s="37">
        <v>7.0999999999999994E-2</v>
      </c>
      <c r="I73" s="35">
        <v>426.7794488790841</v>
      </c>
      <c r="J73" s="35">
        <v>426.7794488790841</v>
      </c>
      <c r="K73" s="35">
        <v>426.7794488790841</v>
      </c>
      <c r="L73" s="35">
        <v>426.7794488790841</v>
      </c>
    </row>
    <row r="74" spans="3:12">
      <c r="C74" t="s">
        <v>36</v>
      </c>
      <c r="D74" s="25" t="s">
        <v>240</v>
      </c>
      <c r="E74" s="36" t="s">
        <v>241</v>
      </c>
      <c r="F74">
        <v>1</v>
      </c>
      <c r="G74" s="13"/>
      <c r="H74" s="26"/>
      <c r="I74" s="13">
        <v>7.9788990825688071</v>
      </c>
      <c r="J74" s="13">
        <v>7.9788990825688071</v>
      </c>
      <c r="K74" s="13">
        <v>7.9788990825688071</v>
      </c>
      <c r="L74" s="13">
        <v>7.9788990825688071</v>
      </c>
    </row>
    <row r="75" spans="3:12">
      <c r="C75" t="s">
        <v>36</v>
      </c>
      <c r="D75" s="25" t="s">
        <v>242</v>
      </c>
      <c r="E75" s="36" t="s">
        <v>243</v>
      </c>
      <c r="F75">
        <v>1</v>
      </c>
      <c r="G75" s="13"/>
      <c r="H75" s="26"/>
      <c r="I75" s="13">
        <v>1.2275229357798165</v>
      </c>
      <c r="J75" s="13">
        <v>1.2275229357798165</v>
      </c>
      <c r="K75" s="13">
        <v>1.2275229357798165</v>
      </c>
      <c r="L75" s="13">
        <v>1.2275229357798165</v>
      </c>
    </row>
    <row r="76" spans="3:12">
      <c r="C76" s="32" t="s">
        <v>40</v>
      </c>
      <c r="D76" s="33" t="s">
        <v>239</v>
      </c>
      <c r="E76" s="34" t="s">
        <v>167</v>
      </c>
      <c r="F76" s="32">
        <v>1</v>
      </c>
      <c r="G76" s="35">
        <v>41</v>
      </c>
      <c r="H76" s="37">
        <v>5.3999999999999999E-2</v>
      </c>
      <c r="I76" s="35">
        <v>4615.4862385321103</v>
      </c>
      <c r="J76" s="35">
        <v>4615.4862385321103</v>
      </c>
      <c r="K76" s="35">
        <v>4615.4862385321103</v>
      </c>
      <c r="L76" s="35">
        <v>4615.4862385321103</v>
      </c>
    </row>
    <row r="77" spans="3:12">
      <c r="C77" t="s">
        <v>40</v>
      </c>
      <c r="D77" s="25" t="s">
        <v>240</v>
      </c>
      <c r="E77" s="36" t="s">
        <v>241</v>
      </c>
      <c r="F77">
        <v>1</v>
      </c>
      <c r="G77" s="13"/>
      <c r="H77" s="26"/>
      <c r="I77" s="13">
        <v>37.316697247706422</v>
      </c>
      <c r="J77" s="13">
        <v>37.316697247706422</v>
      </c>
      <c r="K77" s="13">
        <v>37.316697247706422</v>
      </c>
      <c r="L77" s="13">
        <v>37.316697247706422</v>
      </c>
    </row>
    <row r="78" spans="3:12">
      <c r="C78" t="s">
        <v>40</v>
      </c>
      <c r="D78" s="25" t="s">
        <v>242</v>
      </c>
      <c r="E78" s="36" t="s">
        <v>243</v>
      </c>
      <c r="F78">
        <v>1</v>
      </c>
      <c r="G78" s="13"/>
      <c r="H78" s="26"/>
      <c r="I78" s="13">
        <v>8.5926605504587155</v>
      </c>
      <c r="J78" s="13">
        <v>8.5926605504587155</v>
      </c>
      <c r="K78" s="13">
        <v>8.5926605504587155</v>
      </c>
      <c r="L78" s="13">
        <v>8.5926605504587155</v>
      </c>
    </row>
    <row r="79" spans="3:12">
      <c r="C79" s="32" t="s">
        <v>41</v>
      </c>
      <c r="D79" s="33" t="s">
        <v>239</v>
      </c>
      <c r="E79" s="34" t="s">
        <v>167</v>
      </c>
      <c r="F79" s="32">
        <v>1</v>
      </c>
      <c r="G79" s="35">
        <v>41</v>
      </c>
      <c r="H79" s="37">
        <v>5.3999999999999999E-2</v>
      </c>
      <c r="I79" s="35">
        <v>4247.2293577981654</v>
      </c>
      <c r="J79" s="35">
        <v>3633.4678899082569</v>
      </c>
      <c r="K79" s="35">
        <v>1953.2515246327623</v>
      </c>
      <c r="L79" s="35">
        <v>3738.4814127379755</v>
      </c>
    </row>
    <row r="80" spans="3:12">
      <c r="C80" t="s">
        <v>41</v>
      </c>
      <c r="D80" s="25" t="s">
        <v>240</v>
      </c>
      <c r="E80" s="36" t="s">
        <v>241</v>
      </c>
      <c r="F80">
        <v>1</v>
      </c>
      <c r="G80" s="13"/>
      <c r="H80" s="26"/>
      <c r="I80" s="13">
        <v>63.217431192660548</v>
      </c>
      <c r="J80" s="13">
        <v>63.217431192660548</v>
      </c>
      <c r="K80" s="13">
        <v>63.217431192660548</v>
      </c>
      <c r="L80" s="13">
        <v>63.217431192660548</v>
      </c>
    </row>
    <row r="81" spans="3:12">
      <c r="C81" t="s">
        <v>41</v>
      </c>
      <c r="D81" s="25" t="s">
        <v>242</v>
      </c>
      <c r="E81" s="36" t="s">
        <v>243</v>
      </c>
      <c r="F81">
        <v>1</v>
      </c>
      <c r="G81" s="13"/>
      <c r="H81" s="26"/>
      <c r="I81" s="13">
        <v>4.9100917431192661</v>
      </c>
      <c r="J81" s="13">
        <v>4.9100917431192661</v>
      </c>
      <c r="K81" s="13">
        <v>4.9100917431192661</v>
      </c>
      <c r="L81" s="13">
        <v>4.9100917431192661</v>
      </c>
    </row>
    <row r="82" spans="3:12">
      <c r="C82" s="32" t="s">
        <v>42</v>
      </c>
      <c r="D82" s="33" t="s">
        <v>239</v>
      </c>
      <c r="E82" s="34" t="s">
        <v>167</v>
      </c>
      <c r="F82" s="32">
        <v>1</v>
      </c>
      <c r="G82" s="35">
        <v>15</v>
      </c>
      <c r="H82" s="37">
        <v>7.0999999999999994E-2</v>
      </c>
      <c r="I82" s="35">
        <v>619.89908256880733</v>
      </c>
      <c r="J82" s="35">
        <v>619.89908256880733</v>
      </c>
      <c r="K82" s="35">
        <v>619.89908256880733</v>
      </c>
      <c r="L82" s="35">
        <v>619.89908256880733</v>
      </c>
    </row>
    <row r="83" spans="3:12">
      <c r="C83" t="s">
        <v>42</v>
      </c>
      <c r="D83" s="25" t="s">
        <v>240</v>
      </c>
      <c r="E83" s="36" t="s">
        <v>241</v>
      </c>
      <c r="F83">
        <v>1</v>
      </c>
      <c r="G83" s="13"/>
      <c r="H83" s="26"/>
      <c r="I83" s="13">
        <v>15.344036697247706</v>
      </c>
      <c r="J83" s="13">
        <v>15.344036697247706</v>
      </c>
      <c r="K83" s="13">
        <v>15.344036697247706</v>
      </c>
      <c r="L83" s="13">
        <v>15.344036697247706</v>
      </c>
    </row>
    <row r="84" spans="3:12">
      <c r="C84" t="s">
        <v>42</v>
      </c>
      <c r="D84" s="25" t="s">
        <v>242</v>
      </c>
      <c r="E84" s="36" t="s">
        <v>243</v>
      </c>
      <c r="F84">
        <v>1</v>
      </c>
      <c r="G84" s="13"/>
      <c r="H84" s="26"/>
      <c r="I84" s="13">
        <v>0</v>
      </c>
      <c r="J84" s="13">
        <v>0</v>
      </c>
      <c r="K84" s="13">
        <v>0</v>
      </c>
      <c r="L84" s="13">
        <v>0</v>
      </c>
    </row>
    <row r="85" spans="3:12">
      <c r="C85" s="32" t="s">
        <v>43</v>
      </c>
      <c r="D85" s="33" t="s">
        <v>239</v>
      </c>
      <c r="E85" s="34" t="s">
        <v>167</v>
      </c>
      <c r="F85" s="32">
        <v>1</v>
      </c>
      <c r="G85" s="35">
        <v>25</v>
      </c>
      <c r="H85" s="37">
        <v>9.4E-2</v>
      </c>
      <c r="I85" s="35">
        <v>4664.5871559633024</v>
      </c>
      <c r="J85" s="35">
        <v>6567.2477064220184</v>
      </c>
      <c r="K85" s="35">
        <v>6221.6030902945431</v>
      </c>
      <c r="L85" s="35">
        <v>7085.7146306132308</v>
      </c>
    </row>
    <row r="86" spans="3:12">
      <c r="C86" t="s">
        <v>43</v>
      </c>
      <c r="D86" s="25" t="s">
        <v>240</v>
      </c>
      <c r="E86" s="36" t="s">
        <v>241</v>
      </c>
      <c r="F86">
        <v>1</v>
      </c>
      <c r="G86" s="13"/>
      <c r="H86" s="26"/>
      <c r="I86" s="13">
        <v>172.34422018348624</v>
      </c>
      <c r="J86" s="13">
        <v>172.34422018348624</v>
      </c>
      <c r="K86" s="13">
        <v>172.34422018348624</v>
      </c>
      <c r="L86" s="13">
        <v>172.34422018348624</v>
      </c>
    </row>
    <row r="87" spans="3:12">
      <c r="C87" t="s">
        <v>43</v>
      </c>
      <c r="D87" s="25" t="s">
        <v>242</v>
      </c>
      <c r="E87" s="36" t="s">
        <v>243</v>
      </c>
      <c r="F87">
        <v>1</v>
      </c>
      <c r="G87" s="13"/>
      <c r="H87" s="26"/>
      <c r="I87" s="13">
        <v>0</v>
      </c>
      <c r="J87" s="13">
        <v>0</v>
      </c>
      <c r="K87" s="13">
        <v>0</v>
      </c>
      <c r="L87" s="13">
        <v>0</v>
      </c>
    </row>
    <row r="88" spans="3:12">
      <c r="C88" s="32" t="s">
        <v>44</v>
      </c>
      <c r="D88" s="33" t="s">
        <v>239</v>
      </c>
      <c r="E88" s="34" t="s">
        <v>167</v>
      </c>
      <c r="F88" s="32">
        <v>1</v>
      </c>
      <c r="G88" s="35">
        <v>15</v>
      </c>
      <c r="H88" s="37">
        <v>7.0999999999999994E-2</v>
      </c>
      <c r="I88" s="35">
        <v>619.89908256880733</v>
      </c>
      <c r="J88" s="35">
        <v>619.89908256880733</v>
      </c>
      <c r="K88" s="35">
        <v>619.89908256880733</v>
      </c>
      <c r="L88" s="35">
        <v>619.89908256880733</v>
      </c>
    </row>
    <row r="89" spans="3:12">
      <c r="C89" t="s">
        <v>44</v>
      </c>
      <c r="D89" s="25" t="s">
        <v>240</v>
      </c>
      <c r="E89" s="36" t="s">
        <v>241</v>
      </c>
      <c r="F89">
        <v>1</v>
      </c>
      <c r="G89" s="13"/>
      <c r="H89" s="26"/>
      <c r="I89" s="13">
        <v>15.344036697247706</v>
      </c>
      <c r="J89" s="13">
        <v>15.344036697247706</v>
      </c>
      <c r="K89" s="13">
        <v>15.344036697247706</v>
      </c>
      <c r="L89" s="13">
        <v>15.344036697247706</v>
      </c>
    </row>
    <row r="90" spans="3:12">
      <c r="C90" t="s">
        <v>44</v>
      </c>
      <c r="D90" s="25" t="s">
        <v>242</v>
      </c>
      <c r="E90" s="36" t="s">
        <v>243</v>
      </c>
      <c r="F90">
        <v>1</v>
      </c>
      <c r="G90" s="13"/>
      <c r="H90" s="27"/>
      <c r="I90" s="13">
        <v>0</v>
      </c>
      <c r="J90" s="13">
        <v>0</v>
      </c>
      <c r="K90" s="13">
        <v>0</v>
      </c>
      <c r="L90" s="13">
        <v>0</v>
      </c>
    </row>
  </sheetData>
  <hyperlinks>
    <hyperlink ref="E6" r:id="rId1" xr:uid="{80E22958-362F-40BE-B553-9BF2829F6505}"/>
    <hyperlink ref="E7" r:id="rId2" xr:uid="{E76E6F89-2366-417C-87B5-245C31383160}"/>
    <hyperlink ref="E8" r:id="rId3" xr:uid="{C835304E-35AE-4C25-A09C-269D2C2DC2F6}"/>
    <hyperlink ref="E9" r:id="rId4" xr:uid="{03BD15E0-E99A-4ED5-AAE1-4894DE88C151}"/>
    <hyperlink ref="E10" r:id="rId5" xr:uid="{AF005E18-F199-4FC2-88FC-0ED27E2FE065}"/>
  </hyperlinks>
  <pageMargins left="0.7" right="0.7" top="0.75" bottom="0.75" header="0.3" footer="0.3"/>
  <pageSetup paperSize="9"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F6699FF2C9E24B949D65A77DC2AA57" ma:contentTypeVersion="10" ma:contentTypeDescription="Create a new document." ma:contentTypeScope="" ma:versionID="f9a1f8a64bc78458c4425736b9c9c63f">
  <xsd:schema xmlns:xsd="http://www.w3.org/2001/XMLSchema" xmlns:xs="http://www.w3.org/2001/XMLSchema" xmlns:p="http://schemas.microsoft.com/office/2006/metadata/properties" xmlns:ns2="9d20f3dc-bd80-41d8-8f09-19340e28bce8" xmlns:ns3="1b34ed2a-fce9-442d-ab23-6ccc0f5d5af3" targetNamespace="http://schemas.microsoft.com/office/2006/metadata/properties" ma:root="true" ma:fieldsID="b16ee93781835a81411b4d8722713228" ns2:_="" ns3:_="">
    <xsd:import namespace="9d20f3dc-bd80-41d8-8f09-19340e28bce8"/>
    <xsd:import namespace="1b34ed2a-fce9-442d-ab23-6ccc0f5d5a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Reference" minOccurs="0"/>
                <xsd:element ref="ns2:Doctype" minOccurs="0"/>
                <xsd:element ref="ns3:SharedWithUsers" minOccurs="0"/>
                <xsd:element ref="ns3:SharedWithDetails" minOccurs="0"/>
                <xsd:element ref="ns2:MediaServiceSearchProperties" minOccurs="0"/>
                <xsd:element ref="ns2:Priority" minOccurs="0"/>
                <xsd:element ref="ns2:Externaldue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20f3dc-bd80-41d8-8f09-19340e28bc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Reference" ma:index="11" nillable="true" ma:displayName="Version " ma:default="v.1- Sept 23" ma:format="Dropdown" ma:internalName="Reference">
      <xsd:simpleType>
        <xsd:restriction base="dms:Text">
          <xsd:maxLength value="255"/>
        </xsd:restriction>
      </xsd:simpleType>
    </xsd:element>
    <xsd:element name="Doctype" ma:index="12" nillable="true" ma:displayName="Doc type " ma:format="Dropdown" ma:internalName="Doctype">
      <xsd:simpleType>
        <xsd:restriction base="dms:Choice">
          <xsd:enumeration value="Closed Folder"/>
          <xsd:enumeration value="Open Folder"/>
        </xsd:restrictio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Priority" ma:index="16" nillable="true" ma:displayName="Priority" ma:format="Dropdown" ma:internalName="Priority" ma:percentage="FALSE">
      <xsd:simpleType>
        <xsd:restriction base="dms:Number"/>
      </xsd:simpleType>
    </xsd:element>
    <xsd:element name="Externalduedate" ma:index="17" nillable="true" ma:displayName="External due date" ma:format="Dropdown" ma:internalName="Externaldueda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34ed2a-fce9-442d-ab23-6ccc0f5d5af3"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ference xmlns="9d20f3dc-bd80-41d8-8f09-19340e28bce8">v.1- Sept 23</Reference>
    <Externalduedate xmlns="9d20f3dc-bd80-41d8-8f09-19340e28bce8" xsi:nil="true"/>
    <Doctype xmlns="9d20f3dc-bd80-41d8-8f09-19340e28bce8" xsi:nil="true"/>
    <Priority xmlns="9d20f3dc-bd80-41d8-8f09-19340e28bce8" xsi:nil="true"/>
  </documentManagement>
</p:properties>
</file>

<file path=customXml/itemProps1.xml><?xml version="1.0" encoding="utf-8"?>
<ds:datastoreItem xmlns:ds="http://schemas.openxmlformats.org/officeDocument/2006/customXml" ds:itemID="{97B7CB3B-C127-4A78-95F8-AC9751100BD0}"/>
</file>

<file path=customXml/itemProps2.xml><?xml version="1.0" encoding="utf-8"?>
<ds:datastoreItem xmlns:ds="http://schemas.openxmlformats.org/officeDocument/2006/customXml" ds:itemID="{C1DC32D5-8BF3-4179-A50C-2D272F80CA3B}">
  <ds:schemaRefs>
    <ds:schemaRef ds:uri="http://schemas.microsoft.com/sharepoint/v3/contenttype/forms"/>
  </ds:schemaRefs>
</ds:datastoreItem>
</file>

<file path=customXml/itemProps3.xml><?xml version="1.0" encoding="utf-8"?>
<ds:datastoreItem xmlns:ds="http://schemas.openxmlformats.org/officeDocument/2006/customXml" ds:itemID="{60E6465C-91B7-49E1-924E-CB718B7FCF33}">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14a6df9d-f394-4b32-b91e-cc1863cc265e"/>
    <ds:schemaRef ds:uri="http://purl.org/dc/elements/1.1/"/>
    <ds:schemaRef ds:uri="http://schemas.microsoft.com/office/2006/metadata/properties"/>
    <ds:schemaRef ds:uri="4130c2eb-7660-4c16-bc1c-752eb10e6b1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Cover</vt:lpstr>
      <vt:lpstr>DispatchVols</vt:lpstr>
      <vt:lpstr>Network</vt:lpstr>
      <vt:lpstr>IC CAPEX</vt:lpstr>
      <vt:lpstr>XR&amp;Inflation</vt:lpstr>
      <vt:lpstr>2024Capacities</vt:lpstr>
      <vt:lpstr>DeployedCapacities</vt:lpstr>
      <vt:lpstr>StorageAssumptions</vt:lpstr>
      <vt:lpstr>TechAssumptions</vt:lpstr>
      <vt:lpstr>CO2&amp;H2</vt:lpstr>
      <vt:lpstr>PlexosVOMs</vt:lpstr>
      <vt:lpstr>ConstraintInputs</vt:lpstr>
      <vt:lpstr>ImportExport</vt:lpstr>
      <vt:lpstr>SRMC</vt:lpstr>
      <vt:lpstr>Storage capacity</vt:lpstr>
      <vt:lpstr>GenerationSpend</vt:lpstr>
      <vt:lpstr>Offshore network costs</vt:lpstr>
      <vt:lpstr>EmissionsCaptured</vt:lpstr>
      <vt:lpstr>Calcs</vt:lpstr>
      <vt:lpstr>NetworkSpend</vt:lpstr>
      <vt:lpstr>ConstraintCosts</vt:lpstr>
      <vt:lpstr>AnnuitisedCostperUsefulEnergy</vt:lpstr>
      <vt:lpstr>Outputs</vt:lpstr>
      <vt:lpstr>&gt;High_gas_sensitivities&gt;</vt:lpstr>
      <vt:lpstr>DispatchVols_HG</vt:lpstr>
      <vt:lpstr>PlexosVOMs_HG</vt:lpstr>
      <vt:lpstr>EmissionsCaptured_HG</vt:lpstr>
      <vt:lpstr>ConstraintInputs_HG</vt:lpstr>
      <vt:lpstr>ImportExport_HG</vt:lpstr>
      <vt:lpstr>GenerationSpend_HG</vt:lpstr>
      <vt:lpstr>NetworkSpend_HG</vt:lpstr>
      <vt:lpstr>ConstraintCosts_HG</vt:lpstr>
      <vt:lpstr>&gt;Low_gas_sensitivities&gt;</vt:lpstr>
      <vt:lpstr>DispatchVols_LG</vt:lpstr>
      <vt:lpstr>PlexosVOMs_LG</vt:lpstr>
      <vt:lpstr>EmissionsCaptured_LG</vt:lpstr>
      <vt:lpstr>ConstraintInputs_LG</vt:lpstr>
      <vt:lpstr>ImportExport_LG</vt:lpstr>
      <vt:lpstr>GenerationSpend_LG</vt:lpstr>
      <vt:lpstr>NetworkSpend_LG</vt:lpstr>
      <vt:lpstr>ConstraintCosts_LG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2024-12-03T16:38:25Z</dcterms:created>
  <dcterms:modified xsi:type="dcterms:W3CDTF">2024-12-03T17:34:49Z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0x01010010F6699FF2C9E24B949D65A77DC2AA57</vt:lpwstr>
  </property>
</Properties>
</file>