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https://nationalgridplc.sharepoint.com/sites/GRP-INT-UK-CodeAdministrator/CUSC/3. CUSC Modifications/CMP316/4. Workgroups/Workgroup 13 - 22 January 2024/"/>
    </mc:Choice>
  </mc:AlternateContent>
  <xr:revisionPtr revIDLastSave="0" documentId="8_{BB2EEBD6-CA6D-438F-AB82-402DA6B007AA}" xr6:coauthVersionLast="47" xr6:coauthVersionMax="47" xr10:uidLastSave="{00000000-0000-0000-0000-000000000000}"/>
  <bookViews>
    <workbookView xWindow="28680" yWindow="-120" windowWidth="29040" windowHeight="15840" xr2:uid="{497BCAC1-C106-4AA6-A07A-A46FC1D51881}"/>
  </bookViews>
  <sheets>
    <sheet name="CMP316 positive" sheetId="1" r:id="rId1"/>
    <sheet name="CMP316 negative" sheetId="2" r:id="rId2"/>
    <sheet name="WACM1 postive" sheetId="3" r:id="rId3"/>
    <sheet name="WACM1 negative" sheetId="4" r:id="rId4"/>
    <sheet name="Example of Chargeable Capacity" sheetId="5"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4" i="1" l="1"/>
  <c r="D14" i="1" s="1"/>
  <c r="K20" i="4"/>
  <c r="G13" i="3"/>
  <c r="C14" i="3"/>
  <c r="F14" i="3" s="1"/>
  <c r="C21" i="4"/>
  <c r="F21" i="4" s="1"/>
  <c r="J21" i="4"/>
  <c r="B20" i="4"/>
  <c r="H20" i="4" s="1"/>
  <c r="B14" i="4"/>
  <c r="D43" i="4" s="1"/>
  <c r="G43" i="4" s="1"/>
  <c r="B15" i="4"/>
  <c r="J22" i="4" s="1"/>
  <c r="B13" i="4"/>
  <c r="D20" i="4" s="1"/>
  <c r="B13" i="3"/>
  <c r="H13" i="3" s="1"/>
  <c r="D13" i="2"/>
  <c r="B21" i="2"/>
  <c r="B22" i="2"/>
  <c r="B20" i="2"/>
  <c r="C13" i="2"/>
  <c r="H8" i="5"/>
  <c r="E8" i="5"/>
  <c r="B8" i="5"/>
  <c r="B31" i="1"/>
  <c r="B32" i="1"/>
  <c r="B33" i="1"/>
  <c r="D33" i="1"/>
  <c r="C33" i="1"/>
  <c r="C32" i="1"/>
  <c r="D32" i="1" s="1"/>
  <c r="D31" i="1"/>
  <c r="C31" i="1"/>
  <c r="B44" i="2"/>
  <c r="B45" i="2"/>
  <c r="B46" i="2"/>
  <c r="C39" i="2"/>
  <c r="D39" i="2" s="1"/>
  <c r="C38" i="2"/>
  <c r="C37" i="2"/>
  <c r="D38" i="2"/>
  <c r="D37" i="2"/>
  <c r="F20" i="4"/>
  <c r="B37" i="4"/>
  <c r="H37" i="4" s="1"/>
  <c r="B38" i="4"/>
  <c r="H38" i="4" s="1"/>
  <c r="B36" i="4"/>
  <c r="H36" i="4" s="1"/>
  <c r="F36" i="4"/>
  <c r="L43" i="4"/>
  <c r="L44" i="4"/>
  <c r="L42" i="4"/>
  <c r="K43" i="4"/>
  <c r="K44" i="4"/>
  <c r="K42" i="4"/>
  <c r="K13" i="3"/>
  <c r="L13" i="3" s="1"/>
  <c r="J44" i="4"/>
  <c r="J43" i="4"/>
  <c r="B43" i="4"/>
  <c r="B44" i="4"/>
  <c r="B42" i="4"/>
  <c r="C38" i="4"/>
  <c r="F38" i="4" s="1"/>
  <c r="C37" i="4"/>
  <c r="F37" i="4" s="1"/>
  <c r="D13" i="3"/>
  <c r="C14" i="2"/>
  <c r="B22" i="4"/>
  <c r="H22" i="4" s="1"/>
  <c r="B21" i="4"/>
  <c r="H21" i="4" s="1"/>
  <c r="B15" i="3"/>
  <c r="H15" i="3" s="1"/>
  <c r="B14" i="3"/>
  <c r="D14" i="3" s="1"/>
  <c r="B14" i="1"/>
  <c r="B15" i="1"/>
  <c r="B13" i="1"/>
  <c r="C22" i="4"/>
  <c r="F22" i="4" s="1"/>
  <c r="F13" i="3"/>
  <c r="C15" i="3"/>
  <c r="F15" i="3" s="1"/>
  <c r="C15" i="2"/>
  <c r="D15" i="2" s="1"/>
  <c r="D14" i="2"/>
  <c r="C15" i="1"/>
  <c r="D15" i="1" s="1"/>
  <c r="C13" i="1"/>
  <c r="D13" i="1" s="1"/>
  <c r="C21" i="2" l="1"/>
  <c r="C20" i="2"/>
  <c r="C22" i="2"/>
  <c r="N43" i="4"/>
  <c r="L20" i="4"/>
  <c r="D44" i="4"/>
  <c r="G44" i="4" s="1"/>
  <c r="N44" i="4" s="1"/>
  <c r="D42" i="4"/>
  <c r="G42" i="4" s="1"/>
  <c r="N42" i="4" s="1"/>
  <c r="F32" i="1"/>
  <c r="F33" i="1"/>
  <c r="F31" i="1"/>
  <c r="C45" i="2"/>
  <c r="C44" i="2"/>
  <c r="C46" i="2"/>
  <c r="G20" i="4"/>
  <c r="J15" i="3"/>
  <c r="K15" i="3" s="1"/>
  <c r="L15" i="3" s="1"/>
  <c r="N15" i="3" s="1"/>
  <c r="D15" i="3"/>
  <c r="G15" i="3" s="1"/>
  <c r="F13" i="1"/>
  <c r="D21" i="4"/>
  <c r="G21" i="4" s="1"/>
  <c r="D22" i="4"/>
  <c r="G22" i="4" s="1"/>
  <c r="F14" i="1"/>
  <c r="F15" i="1"/>
  <c r="H14" i="3"/>
  <c r="J14" i="3"/>
  <c r="N13" i="3"/>
  <c r="K14" i="3"/>
  <c r="L14" i="3" s="1"/>
  <c r="G14" i="3"/>
  <c r="K22" i="4" l="1"/>
  <c r="L22" i="4" s="1"/>
  <c r="N22" i="4" s="1"/>
  <c r="N45" i="4"/>
  <c r="N20" i="4"/>
  <c r="K21" i="4"/>
  <c r="L21" i="4" s="1"/>
  <c r="N21" i="4" s="1"/>
  <c r="F35" i="1"/>
  <c r="C47" i="2"/>
  <c r="C23" i="2"/>
  <c r="F17" i="1"/>
  <c r="N17" i="3"/>
  <c r="N14" i="3"/>
  <c r="N18" i="3" s="1"/>
  <c r="N23" i="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March, Grace</author>
  </authors>
  <commentList>
    <comment ref="J13" authorId="0" shapeId="0" xr:uid="{7BC591A7-7904-4A41-9358-79AFF7FFAFEF}">
      <text>
        <r>
          <rPr>
            <b/>
            <sz val="9"/>
            <color indexed="81"/>
            <rFont val="Tahoma"/>
            <family val="2"/>
          </rPr>
          <t>March, Grace:</t>
        </r>
        <r>
          <rPr>
            <sz val="9"/>
            <color indexed="81"/>
            <rFont val="Tahoma"/>
            <family val="2"/>
          </rPr>
          <t xml:space="preserve">
Intermittent and Conventional Low Carbon has ALFE of 1</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March, Grace</author>
  </authors>
  <commentList>
    <comment ref="J20" authorId="0" shapeId="0" xr:uid="{AAD9066F-F0FE-4289-B9C4-FD381FD25B01}">
      <text>
        <r>
          <rPr>
            <b/>
            <sz val="9"/>
            <color indexed="81"/>
            <rFont val="Tahoma"/>
            <family val="2"/>
          </rPr>
          <t>March, Grace:</t>
        </r>
        <r>
          <rPr>
            <sz val="9"/>
            <color indexed="81"/>
            <rFont val="Tahoma"/>
            <family val="2"/>
          </rPr>
          <t xml:space="preserve">
Intermittent and Conventional Low Carbon has ALFE of 1</t>
        </r>
      </text>
    </comment>
    <comment ref="J42" authorId="0" shapeId="0" xr:uid="{A836C1F7-6E06-4B49-8FAE-6629DB217F20}">
      <text>
        <r>
          <rPr>
            <b/>
            <sz val="9"/>
            <color indexed="81"/>
            <rFont val="Tahoma"/>
            <family val="2"/>
          </rPr>
          <t>March, Grace:</t>
        </r>
        <r>
          <rPr>
            <sz val="9"/>
            <color indexed="81"/>
            <rFont val="Tahoma"/>
            <family val="2"/>
          </rPr>
          <t xml:space="preserve">
Intermittent and Conventional Low Carbon has ALFE of 1</t>
        </r>
      </text>
    </comment>
  </commentList>
</comments>
</file>

<file path=xl/sharedStrings.xml><?xml version="1.0" encoding="utf-8"?>
<sst xmlns="http://schemas.openxmlformats.org/spreadsheetml/2006/main" count="226" uniqueCount="63">
  <si>
    <t>BMU 1</t>
  </si>
  <si>
    <t>BMU 2</t>
  </si>
  <si>
    <t>BMU 3</t>
  </si>
  <si>
    <t>Max Capacity (MW)</t>
  </si>
  <si>
    <t>Fuel Type</t>
  </si>
  <si>
    <t>Annual exporting (MWh)</t>
  </si>
  <si>
    <t>Wind</t>
  </si>
  <si>
    <t>CHP</t>
  </si>
  <si>
    <t>Battery</t>
  </si>
  <si>
    <t>MTPSTEC (MW)</t>
  </si>
  <si>
    <t>TEC (MW)</t>
  </si>
  <si>
    <t>Peak Security</t>
  </si>
  <si>
    <t>Adjustment</t>
  </si>
  <si>
    <t>ALF</t>
  </si>
  <si>
    <t>Wider Tariff (£/kW)</t>
  </si>
  <si>
    <t>Charge (£k)</t>
  </si>
  <si>
    <t>Chargeable Capacity (PS)</t>
  </si>
  <si>
    <t>CMP316 Original with negative tariffs</t>
  </si>
  <si>
    <t>CMP316 Original - as worked example previously published</t>
  </si>
  <si>
    <t>CMP316 WACM1 - as worked example previously published</t>
  </si>
  <si>
    <t>MTPSTECPK (MW)</t>
  </si>
  <si>
    <t>Peak charge (£k)</t>
  </si>
  <si>
    <t>YRS charge (£k)</t>
  </si>
  <si>
    <t>Total liabililty:</t>
  </si>
  <si>
    <t>YRNS charge (£k)</t>
  </si>
  <si>
    <t>Adjustment (£k)</t>
  </si>
  <si>
    <t>CMP316 WACM1 - with negative tariffs</t>
  </si>
  <si>
    <t>Chargeable MTPSTEC (MW)</t>
  </si>
  <si>
    <t>Chargeable MTPSTECPK (MW)</t>
  </si>
  <si>
    <t>ALF (no change)</t>
  </si>
  <si>
    <r>
      <t xml:space="preserve">Wider Tariffs (£/kw) </t>
    </r>
    <r>
      <rPr>
        <b/>
        <i/>
        <sz val="11"/>
        <color theme="1"/>
        <rFont val="Calibri"/>
        <family val="2"/>
        <scheme val="minor"/>
      </rPr>
      <t>For illustrative purposes only</t>
    </r>
  </si>
  <si>
    <t>Negative Wider Tariff for BMU 3</t>
  </si>
  <si>
    <t>Negative Wider Tariff for BMU 1</t>
  </si>
  <si>
    <t>Negative Wider Tariff for BMU 2</t>
  </si>
  <si>
    <t>For child stations with negative tariff, child station chargeable capacity is scaled by power station chargeable capacity to create chargeable MTPSTEC</t>
  </si>
  <si>
    <t>Child stations with positive tariff are charged on MTPSTEC in normal manner</t>
  </si>
  <si>
    <t>The trigger for this methodology is if cells B10 to E10 (output from Tariff model) are negative. Adjustment will usually be negative.</t>
  </si>
  <si>
    <t>Second example - mix of positive and negative tariffs</t>
  </si>
  <si>
    <t>Scaled chargeable capacity (MW) / 
Chargeable MTPSTEC (MW)</t>
  </si>
  <si>
    <t>YRS</t>
  </si>
  <si>
    <t>YRNS</t>
  </si>
  <si>
    <r>
      <t xml:space="preserve">Child Station Chargeable Capacity (MW) 
</t>
    </r>
    <r>
      <rPr>
        <i/>
        <sz val="11"/>
        <color theme="1"/>
        <rFont val="Calibri"/>
        <family val="2"/>
        <scheme val="minor"/>
      </rPr>
      <t>(average of three highest between Feb - Nov)</t>
    </r>
  </si>
  <si>
    <t>Chargeable child station capacities are calculated and scaled by power station chargeable capacity to create chargeable MTPSTEC, chargeable  MTPSTECPK and chargeable MTPSTECS</t>
  </si>
  <si>
    <t>Liability</t>
  </si>
  <si>
    <t>Total</t>
  </si>
  <si>
    <t>As the peak element &amp; adjustment in this zone are negative, the peak liability calculations are done using child station charging capacities, power station chargeable capacity and chargeable MTPSTECPK. The adjustment liability is calculated using the chargeable MTPSTEC</t>
  </si>
  <si>
    <t>As the YRS and YRNS elements are positive, they are calculated using TEC and MTPSTEC and MTPSTECS - no change in methdology from positive example</t>
  </si>
  <si>
    <t>Example where installed capacity is greater than TEC</t>
  </si>
  <si>
    <t>Battery is only charged on proportion of whole station metered output (rather than actual generation)</t>
  </si>
  <si>
    <t>Battery is only charged on proportion of whole station TEC (rather than installed capacity)</t>
  </si>
  <si>
    <t xml:space="preserve">Illustration of calculation of Child Station Chargeable Capacities (MW) </t>
  </si>
  <si>
    <t>BMU1</t>
  </si>
  <si>
    <t>Tech</t>
  </si>
  <si>
    <t>Settlement period</t>
  </si>
  <si>
    <t>Installed Capacity (MW)</t>
  </si>
  <si>
    <t>Highest Metered Volume (MW)</t>
  </si>
  <si>
    <t>Child station chargeable capacity (MW)</t>
  </si>
  <si>
    <t>BMU2</t>
  </si>
  <si>
    <t>BMU3</t>
  </si>
  <si>
    <t>MTPSECS (MW)</t>
  </si>
  <si>
    <t>Chargeable MTPSECS (MW)*EALF</t>
  </si>
  <si>
    <t>EALF (no change)</t>
  </si>
  <si>
    <t>EALF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</si>
</sst>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quot;£&quot;* #,##0.00_-;_-&quot;£&quot;* &quot;-&quot;??_-;_-@_-"/>
    <numFmt numFmtId="164" formatCode="0.0"/>
    <numFmt numFmtId="165" formatCode="0.0%"/>
  </numFmts>
  <fonts count="9" x14ac:knownFonts="1">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i/>
      <sz val="11"/>
      <color theme="1"/>
      <name val="Calibri"/>
      <family val="2"/>
      <scheme val="minor"/>
    </font>
    <font>
      <b/>
      <i/>
      <sz val="11"/>
      <color theme="1"/>
      <name val="Calibri"/>
      <family val="2"/>
      <scheme val="minor"/>
    </font>
    <font>
      <sz val="9"/>
      <color indexed="81"/>
      <name val="Tahoma"/>
      <family val="2"/>
    </font>
    <font>
      <b/>
      <sz val="9"/>
      <color indexed="81"/>
      <name val="Tahoma"/>
      <family val="2"/>
    </font>
    <font>
      <b/>
      <u/>
      <sz val="11"/>
      <color theme="1"/>
      <name val="Calibri"/>
      <family val="2"/>
      <scheme val="minor"/>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47">
    <xf numFmtId="0" fontId="0" fillId="0" borderId="0" xfId="0"/>
    <xf numFmtId="0" fontId="3" fillId="0" borderId="0" xfId="0" applyFont="1"/>
    <xf numFmtId="2" fontId="0" fillId="0" borderId="0" xfId="0" applyNumberFormat="1"/>
    <xf numFmtId="164" fontId="0" fillId="0" borderId="0" xfId="0" applyNumberFormat="1"/>
    <xf numFmtId="0" fontId="0" fillId="0" borderId="1" xfId="0" applyBorder="1"/>
    <xf numFmtId="3" fontId="0" fillId="0" borderId="1" xfId="0" applyNumberFormat="1" applyBorder="1"/>
    <xf numFmtId="9" fontId="0" fillId="0" borderId="0" xfId="2" applyFont="1"/>
    <xf numFmtId="44" fontId="0" fillId="0" borderId="0" xfId="1" applyFont="1"/>
    <xf numFmtId="44" fontId="0" fillId="0" borderId="0" xfId="0" applyNumberFormat="1"/>
    <xf numFmtId="0" fontId="0" fillId="0" borderId="2" xfId="0" applyBorder="1"/>
    <xf numFmtId="3" fontId="0" fillId="0" borderId="2" xfId="0" applyNumberFormat="1" applyBorder="1"/>
    <xf numFmtId="0" fontId="0" fillId="0" borderId="1" xfId="0" applyBorder="1" applyAlignment="1">
      <alignment wrapText="1"/>
    </xf>
    <xf numFmtId="0" fontId="2" fillId="0" borderId="0" xfId="0" applyFont="1"/>
    <xf numFmtId="0" fontId="0" fillId="0" borderId="3" xfId="0" applyBorder="1"/>
    <xf numFmtId="0" fontId="0" fillId="0" borderId="4" xfId="0" applyBorder="1"/>
    <xf numFmtId="0" fontId="4" fillId="0" borderId="0" xfId="0" applyFont="1"/>
    <xf numFmtId="164" fontId="4" fillId="0" borderId="0" xfId="0" applyNumberFormat="1" applyFont="1"/>
    <xf numFmtId="9" fontId="4" fillId="0" borderId="0" xfId="2" applyFont="1"/>
    <xf numFmtId="44" fontId="4" fillId="0" borderId="0" xfId="1" applyFont="1"/>
    <xf numFmtId="44" fontId="4" fillId="0" borderId="0" xfId="0" applyNumberFormat="1" applyFont="1"/>
    <xf numFmtId="44" fontId="3" fillId="0" borderId="0" xfId="0" applyNumberFormat="1" applyFont="1"/>
    <xf numFmtId="9" fontId="1" fillId="0" borderId="0" xfId="2" applyFont="1"/>
    <xf numFmtId="0" fontId="0" fillId="0" borderId="0" xfId="0" applyAlignment="1">
      <alignment wrapText="1"/>
    </xf>
    <xf numFmtId="0" fontId="5" fillId="0" borderId="0" xfId="0" applyFont="1"/>
    <xf numFmtId="0" fontId="8" fillId="0" borderId="4" xfId="0" applyFont="1" applyBorder="1"/>
    <xf numFmtId="0" fontId="0" fillId="0" borderId="0" xfId="0" applyBorder="1"/>
    <xf numFmtId="14" fontId="0" fillId="0" borderId="8" xfId="0" applyNumberFormat="1" applyBorder="1"/>
    <xf numFmtId="14" fontId="0" fillId="0" borderId="0" xfId="0" applyNumberFormat="1" applyBorder="1"/>
    <xf numFmtId="14" fontId="0" fillId="0" borderId="9" xfId="0" applyNumberFormat="1" applyBorder="1"/>
    <xf numFmtId="0" fontId="0" fillId="0" borderId="8" xfId="0" applyBorder="1"/>
    <xf numFmtId="0" fontId="0" fillId="0" borderId="9" xfId="0" applyBorder="1"/>
    <xf numFmtId="0" fontId="0" fillId="0" borderId="12" xfId="0" applyBorder="1"/>
    <xf numFmtId="0" fontId="0" fillId="0" borderId="13" xfId="0" applyBorder="1"/>
    <xf numFmtId="2" fontId="1" fillId="0" borderId="0" xfId="1" applyNumberFormat="1" applyFont="1"/>
    <xf numFmtId="165" fontId="0" fillId="0" borderId="0" xfId="2" applyNumberFormat="1" applyFont="1"/>
    <xf numFmtId="0" fontId="0" fillId="0" borderId="6" xfId="0" applyBorder="1" applyAlignment="1">
      <alignment horizontal="center"/>
    </xf>
    <xf numFmtId="0" fontId="0" fillId="0" borderId="4" xfId="0" applyBorder="1" applyAlignment="1">
      <alignment horizontal="center"/>
    </xf>
    <xf numFmtId="0" fontId="0" fillId="0" borderId="7" xfId="0" applyBorder="1" applyAlignment="1">
      <alignment horizontal="center"/>
    </xf>
    <xf numFmtId="0" fontId="0" fillId="0" borderId="8" xfId="0" applyBorder="1" applyAlignment="1">
      <alignment horizontal="center"/>
    </xf>
    <xf numFmtId="0" fontId="0" fillId="0" borderId="0"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0" fontId="0" fillId="0" borderId="5" xfId="0" applyBorder="1" applyAlignment="1">
      <alignment horizontal="center"/>
    </xf>
    <xf numFmtId="0" fontId="0" fillId="0" borderId="11" xfId="0" applyBorder="1" applyAlignment="1">
      <alignment horizontal="center"/>
    </xf>
    <xf numFmtId="0" fontId="3" fillId="0" borderId="10" xfId="0" applyFont="1" applyBorder="1" applyAlignment="1">
      <alignment horizontal="center"/>
    </xf>
    <xf numFmtId="0" fontId="3" fillId="0" borderId="5" xfId="0" applyFont="1" applyBorder="1" applyAlignment="1">
      <alignment horizontal="center"/>
    </xf>
    <xf numFmtId="0" fontId="3" fillId="0" borderId="11" xfId="0" applyFont="1" applyBorder="1" applyAlignment="1">
      <alignment horizontal="center"/>
    </xf>
  </cellXfs>
  <cellStyles count="3">
    <cellStyle name="Currency" xfId="1" builtinId="4"/>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CE40CD-791D-403B-A926-E34963E9B8EC}">
  <dimension ref="A1:H35"/>
  <sheetViews>
    <sheetView tabSelected="1" topLeftCell="A4" workbookViewId="0">
      <selection activeCell="H16" sqref="H16"/>
    </sheetView>
  </sheetViews>
  <sheetFormatPr defaultRowHeight="14.5" x14ac:dyDescent="0.35"/>
  <cols>
    <col min="1" max="1" width="7.54296875" bestFit="1" customWidth="1"/>
    <col min="2" max="2" width="17.453125" bestFit="1" customWidth="1"/>
    <col min="4" max="4" width="21.7265625" bestFit="1" customWidth="1"/>
    <col min="5" max="5" width="38.453125" customWidth="1"/>
    <col min="6" max="6" width="23.26953125" bestFit="1" customWidth="1"/>
  </cols>
  <sheetData>
    <row r="1" spans="1:7" x14ac:dyDescent="0.35">
      <c r="A1" s="1" t="s">
        <v>18</v>
      </c>
    </row>
    <row r="2" spans="1:7" x14ac:dyDescent="0.35">
      <c r="A2" s="1"/>
    </row>
    <row r="3" spans="1:7" x14ac:dyDescent="0.35">
      <c r="A3" s="4"/>
      <c r="B3" s="4" t="s">
        <v>3</v>
      </c>
      <c r="C3" s="4" t="s">
        <v>4</v>
      </c>
      <c r="D3" s="4" t="s">
        <v>5</v>
      </c>
      <c r="F3" t="s">
        <v>10</v>
      </c>
      <c r="G3">
        <v>60</v>
      </c>
    </row>
    <row r="4" spans="1:7" x14ac:dyDescent="0.35">
      <c r="A4" s="4" t="s">
        <v>0</v>
      </c>
      <c r="B4" s="4">
        <v>50</v>
      </c>
      <c r="C4" s="4" t="s">
        <v>6</v>
      </c>
      <c r="D4" s="5">
        <v>135000</v>
      </c>
    </row>
    <row r="5" spans="1:7" x14ac:dyDescent="0.35">
      <c r="A5" s="4" t="s">
        <v>1</v>
      </c>
      <c r="B5" s="4">
        <v>40</v>
      </c>
      <c r="C5" s="4" t="s">
        <v>7</v>
      </c>
      <c r="D5" s="5">
        <v>250000</v>
      </c>
    </row>
    <row r="6" spans="1:7" x14ac:dyDescent="0.35">
      <c r="A6" s="4" t="s">
        <v>2</v>
      </c>
      <c r="B6" s="4">
        <v>15</v>
      </c>
      <c r="C6" s="4" t="s">
        <v>8</v>
      </c>
      <c r="D6" s="5">
        <v>35000</v>
      </c>
    </row>
    <row r="8" spans="1:7" x14ac:dyDescent="0.35">
      <c r="A8" s="1" t="s">
        <v>30</v>
      </c>
    </row>
    <row r="9" spans="1:7" x14ac:dyDescent="0.35">
      <c r="A9" s="1"/>
      <c r="B9" s="4" t="s">
        <v>11</v>
      </c>
      <c r="C9" s="4" t="s">
        <v>39</v>
      </c>
      <c r="D9" s="4" t="s">
        <v>40</v>
      </c>
      <c r="E9" s="4" t="s">
        <v>12</v>
      </c>
    </row>
    <row r="10" spans="1:7" x14ac:dyDescent="0.35">
      <c r="A10" s="1"/>
      <c r="B10" s="4">
        <v>5</v>
      </c>
      <c r="C10" s="4">
        <v>15</v>
      </c>
      <c r="D10" s="4">
        <v>12</v>
      </c>
      <c r="E10" s="4">
        <v>1</v>
      </c>
    </row>
    <row r="12" spans="1:7" x14ac:dyDescent="0.35">
      <c r="B12" t="s">
        <v>9</v>
      </c>
      <c r="C12" t="s">
        <v>13</v>
      </c>
      <c r="D12" t="s">
        <v>14</v>
      </c>
      <c r="F12" t="s">
        <v>15</v>
      </c>
    </row>
    <row r="13" spans="1:7" x14ac:dyDescent="0.35">
      <c r="A13" t="s">
        <v>0</v>
      </c>
      <c r="B13" s="3">
        <f>IF(SUM($B$4:$B$6)&gt;$G$3,B4/SUM($B$4:$B$6)*$G$3,B4)</f>
        <v>28.571428571428569</v>
      </c>
      <c r="C13" s="34">
        <f>D4/($G$3*365*24)</f>
        <v>0.25684931506849318</v>
      </c>
      <c r="D13" s="2">
        <f>0+$C$10*C13+$D$10+$E$10</f>
        <v>16.852739726027398</v>
      </c>
      <c r="F13" s="7">
        <f>D13*B13</f>
        <v>481.50684931506845</v>
      </c>
    </row>
    <row r="14" spans="1:7" x14ac:dyDescent="0.35">
      <c r="A14" t="s">
        <v>1</v>
      </c>
      <c r="B14" s="3">
        <f t="shared" ref="B14:B15" si="0">IF(SUM($B$4:$B$6)&gt;$G$3,B5/SUM($B$4:$B$6)*$G$3,B5)</f>
        <v>22.857142857142854</v>
      </c>
      <c r="C14" s="34">
        <f t="shared" ref="C14:C15" si="1">D5/($G$3*365*24)</f>
        <v>0.4756468797564688</v>
      </c>
      <c r="D14" s="2">
        <f>$B$10+$C$10*C14+$D$10*C14+$E$10</f>
        <v>18.842465753424658</v>
      </c>
      <c r="F14" s="7">
        <f t="shared" ref="F14:F15" si="2">D14*B14</f>
        <v>430.6849315068493</v>
      </c>
    </row>
    <row r="15" spans="1:7" x14ac:dyDescent="0.35">
      <c r="A15" t="s">
        <v>2</v>
      </c>
      <c r="B15" s="3">
        <f t="shared" si="0"/>
        <v>8.5714285714285712</v>
      </c>
      <c r="C15" s="34">
        <f t="shared" si="1"/>
        <v>6.6590563165905628E-2</v>
      </c>
      <c r="D15" s="2">
        <f>$B$10+$C$10*C15+$D$10*C15+$E$10</f>
        <v>7.7979452054794516</v>
      </c>
      <c r="F15" s="7">
        <f t="shared" si="2"/>
        <v>66.839530332681008</v>
      </c>
    </row>
    <row r="16" spans="1:7" x14ac:dyDescent="0.35">
      <c r="C16" s="6"/>
    </row>
    <row r="17" spans="1:7" x14ac:dyDescent="0.35">
      <c r="E17" t="s">
        <v>23</v>
      </c>
      <c r="F17" s="8">
        <f>SUM(F13:F15)</f>
        <v>979.03131115459871</v>
      </c>
    </row>
    <row r="19" spans="1:7" s="14" customFormat="1" x14ac:dyDescent="0.35">
      <c r="A19" s="24" t="s">
        <v>47</v>
      </c>
      <c r="B19" s="24"/>
      <c r="C19" s="24"/>
      <c r="D19" s="24"/>
      <c r="E19" s="24"/>
      <c r="F19" s="24"/>
      <c r="G19" s="24"/>
    </row>
    <row r="21" spans="1:7" x14ac:dyDescent="0.35">
      <c r="A21" s="4"/>
      <c r="B21" s="4" t="s">
        <v>3</v>
      </c>
      <c r="C21" s="4" t="s">
        <v>4</v>
      </c>
      <c r="D21" s="4" t="s">
        <v>5</v>
      </c>
      <c r="E21" s="22"/>
      <c r="F21" t="s">
        <v>10</v>
      </c>
      <c r="G21">
        <v>60</v>
      </c>
    </row>
    <row r="22" spans="1:7" x14ac:dyDescent="0.35">
      <c r="A22" s="4" t="s">
        <v>0</v>
      </c>
      <c r="B22" s="4">
        <v>50</v>
      </c>
      <c r="C22" s="4" t="s">
        <v>6</v>
      </c>
      <c r="D22" s="5">
        <v>135000</v>
      </c>
    </row>
    <row r="23" spans="1:7" x14ac:dyDescent="0.35">
      <c r="A23" s="4" t="s">
        <v>1</v>
      </c>
      <c r="B23" s="4">
        <v>40</v>
      </c>
      <c r="C23" s="4" t="s">
        <v>7</v>
      </c>
      <c r="D23" s="5">
        <v>250000</v>
      </c>
    </row>
    <row r="24" spans="1:7" x14ac:dyDescent="0.35">
      <c r="A24" s="4" t="s">
        <v>2</v>
      </c>
      <c r="B24" s="4">
        <v>30</v>
      </c>
      <c r="C24" s="4" t="s">
        <v>8</v>
      </c>
      <c r="D24" s="5">
        <v>65000</v>
      </c>
    </row>
    <row r="26" spans="1:7" x14ac:dyDescent="0.35">
      <c r="A26" s="1" t="s">
        <v>30</v>
      </c>
    </row>
    <row r="27" spans="1:7" x14ac:dyDescent="0.35">
      <c r="A27" s="1"/>
      <c r="B27" s="4" t="s">
        <v>11</v>
      </c>
      <c r="C27" s="4" t="s">
        <v>39</v>
      </c>
      <c r="D27" s="4" t="s">
        <v>40</v>
      </c>
      <c r="E27" s="4" t="s">
        <v>12</v>
      </c>
    </row>
    <row r="28" spans="1:7" x14ac:dyDescent="0.35">
      <c r="A28" s="1"/>
      <c r="B28" s="4">
        <v>5</v>
      </c>
      <c r="C28" s="4">
        <v>15</v>
      </c>
      <c r="D28" s="4">
        <v>12</v>
      </c>
      <c r="E28" s="4">
        <v>-1</v>
      </c>
    </row>
    <row r="30" spans="1:7" x14ac:dyDescent="0.35">
      <c r="B30" t="s">
        <v>9</v>
      </c>
      <c r="C30" t="s">
        <v>13</v>
      </c>
      <c r="D30" t="s">
        <v>14</v>
      </c>
      <c r="F30" t="s">
        <v>15</v>
      </c>
    </row>
    <row r="31" spans="1:7" x14ac:dyDescent="0.35">
      <c r="A31" t="s">
        <v>0</v>
      </c>
      <c r="B31" s="3">
        <f>IF(SUM($B$22:$B$24)&gt;$G$21,B22/SUM($B$22:$B$24)*$G$21,B22)</f>
        <v>25</v>
      </c>
      <c r="C31" s="6">
        <f>D22/($G$3*365*24)</f>
        <v>0.25684931506849318</v>
      </c>
      <c r="D31" s="2">
        <f>0+$C$10*C31+$D$10+$E$10</f>
        <v>16.852739726027398</v>
      </c>
      <c r="F31" s="7">
        <f>D31*B31</f>
        <v>421.31849315068496</v>
      </c>
    </row>
    <row r="32" spans="1:7" x14ac:dyDescent="0.35">
      <c r="A32" t="s">
        <v>1</v>
      </c>
      <c r="B32" s="3">
        <f t="shared" ref="B32:B33" si="3">IF(SUM($B$22:$B$24)&gt;$G$21,B23/SUM($B$22:$B$24)*$G$21,B23)</f>
        <v>20</v>
      </c>
      <c r="C32" s="6">
        <f t="shared" ref="C32:C33" si="4">D23/($G$3*365*24)</f>
        <v>0.4756468797564688</v>
      </c>
      <c r="D32" s="2">
        <f>$B$10+$C$10*C32+$D$10*C32+$E$10</f>
        <v>18.842465753424658</v>
      </c>
      <c r="F32" s="7">
        <f t="shared" ref="F32:F33" si="5">D32*B32</f>
        <v>376.84931506849318</v>
      </c>
    </row>
    <row r="33" spans="1:8" x14ac:dyDescent="0.35">
      <c r="A33" t="s">
        <v>2</v>
      </c>
      <c r="B33" s="3">
        <f t="shared" si="3"/>
        <v>15</v>
      </c>
      <c r="C33" s="6">
        <f t="shared" si="4"/>
        <v>0.12366818873668188</v>
      </c>
      <c r="D33" s="2">
        <f>$B$10+$C$10*C33+$D$10*C33+$E$10</f>
        <v>9.3390410958904102</v>
      </c>
      <c r="F33" s="7">
        <f t="shared" si="5"/>
        <v>140.08561643835614</v>
      </c>
      <c r="H33" t="s">
        <v>49</v>
      </c>
    </row>
    <row r="34" spans="1:8" x14ac:dyDescent="0.35">
      <c r="C34" s="6"/>
    </row>
    <row r="35" spans="1:8" x14ac:dyDescent="0.35">
      <c r="E35" t="s">
        <v>23</v>
      </c>
      <c r="F35" s="8">
        <f>SUM(F31:F33)</f>
        <v>938.25342465753431</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1EA6D8-2CD3-4D66-B7E5-B1401D3E2802}">
  <dimension ref="A1:G47"/>
  <sheetViews>
    <sheetView workbookViewId="0">
      <selection activeCell="F9" sqref="F9"/>
    </sheetView>
  </sheetViews>
  <sheetFormatPr defaultRowHeight="14.5" x14ac:dyDescent="0.35"/>
  <cols>
    <col min="1" max="1" width="7.54296875" bestFit="1" customWidth="1"/>
    <col min="2" max="2" width="33.26953125" customWidth="1"/>
    <col min="4" max="4" width="21.7265625" bestFit="1" customWidth="1"/>
    <col min="5" max="5" width="38.453125" customWidth="1"/>
    <col min="6" max="6" width="23.26953125" bestFit="1" customWidth="1"/>
  </cols>
  <sheetData>
    <row r="1" spans="1:7" x14ac:dyDescent="0.35">
      <c r="A1" s="1" t="s">
        <v>17</v>
      </c>
    </row>
    <row r="2" spans="1:7" x14ac:dyDescent="0.35">
      <c r="A2" s="1"/>
    </row>
    <row r="3" spans="1:7" ht="43.5" x14ac:dyDescent="0.35">
      <c r="A3" s="4"/>
      <c r="B3" s="4" t="s">
        <v>3</v>
      </c>
      <c r="C3" s="4" t="s">
        <v>4</v>
      </c>
      <c r="D3" s="9" t="s">
        <v>5</v>
      </c>
      <c r="E3" s="11" t="s">
        <v>41</v>
      </c>
      <c r="F3" t="s">
        <v>10</v>
      </c>
      <c r="G3">
        <v>60</v>
      </c>
    </row>
    <row r="4" spans="1:7" x14ac:dyDescent="0.35">
      <c r="A4" s="4" t="s">
        <v>0</v>
      </c>
      <c r="B4" s="4">
        <v>50</v>
      </c>
      <c r="C4" s="4" t="s">
        <v>6</v>
      </c>
      <c r="D4" s="10">
        <v>135000</v>
      </c>
      <c r="E4" s="4">
        <v>45</v>
      </c>
      <c r="F4" t="s">
        <v>16</v>
      </c>
      <c r="G4">
        <v>54</v>
      </c>
    </row>
    <row r="5" spans="1:7" x14ac:dyDescent="0.35">
      <c r="A5" s="4" t="s">
        <v>1</v>
      </c>
      <c r="B5" s="4">
        <v>40</v>
      </c>
      <c r="C5" s="4" t="s">
        <v>7</v>
      </c>
      <c r="D5" s="10">
        <v>250000</v>
      </c>
      <c r="E5" s="4">
        <v>36</v>
      </c>
    </row>
    <row r="6" spans="1:7" x14ac:dyDescent="0.35">
      <c r="A6" s="4" t="s">
        <v>2</v>
      </c>
      <c r="B6" s="4">
        <v>15</v>
      </c>
      <c r="C6" s="4" t="s">
        <v>8</v>
      </c>
      <c r="D6" s="10">
        <v>35000</v>
      </c>
      <c r="E6" s="13">
        <v>13.5</v>
      </c>
    </row>
    <row r="7" spans="1:7" x14ac:dyDescent="0.35">
      <c r="E7" s="14"/>
    </row>
    <row r="8" spans="1:7" x14ac:dyDescent="0.35">
      <c r="A8" s="1" t="s">
        <v>30</v>
      </c>
    </row>
    <row r="9" spans="1:7" x14ac:dyDescent="0.35">
      <c r="A9" s="1"/>
      <c r="B9" s="4" t="s">
        <v>11</v>
      </c>
      <c r="C9" s="4" t="s">
        <v>39</v>
      </c>
      <c r="D9" s="4" t="s">
        <v>40</v>
      </c>
      <c r="E9" s="4" t="s">
        <v>12</v>
      </c>
    </row>
    <row r="10" spans="1:7" x14ac:dyDescent="0.35">
      <c r="A10" s="1"/>
      <c r="B10" s="4">
        <v>-5</v>
      </c>
      <c r="C10" s="4">
        <v>-15</v>
      </c>
      <c r="D10" s="4">
        <v>-12</v>
      </c>
      <c r="E10" s="4">
        <v>-1</v>
      </c>
    </row>
    <row r="12" spans="1:7" x14ac:dyDescent="0.35">
      <c r="C12" t="s">
        <v>13</v>
      </c>
      <c r="D12" t="s">
        <v>14</v>
      </c>
    </row>
    <row r="13" spans="1:7" x14ac:dyDescent="0.35">
      <c r="A13" t="s">
        <v>0</v>
      </c>
      <c r="B13" t="s">
        <v>0</v>
      </c>
      <c r="C13" s="6">
        <f>D4/($G$3*365*24)</f>
        <v>0.25684931506849318</v>
      </c>
      <c r="D13" s="2">
        <f>0+$C$10*C13+$D$10+$E$10</f>
        <v>-16.852739726027398</v>
      </c>
      <c r="E13" s="12" t="s">
        <v>32</v>
      </c>
      <c r="F13" s="7"/>
    </row>
    <row r="14" spans="1:7" x14ac:dyDescent="0.35">
      <c r="A14" t="s">
        <v>1</v>
      </c>
      <c r="B14" t="s">
        <v>1</v>
      </c>
      <c r="C14" s="6">
        <f>D5/($G$3*365*24)</f>
        <v>0.4756468797564688</v>
      </c>
      <c r="D14" s="2">
        <f>$B$10+$C$10*C14+$D$10*C14+$E$10</f>
        <v>-18.842465753424658</v>
      </c>
      <c r="E14" s="12" t="s">
        <v>33</v>
      </c>
      <c r="F14" s="7"/>
    </row>
    <row r="15" spans="1:7" x14ac:dyDescent="0.35">
      <c r="A15" t="s">
        <v>2</v>
      </c>
      <c r="B15" t="s">
        <v>2</v>
      </c>
      <c r="C15" s="6">
        <f t="shared" ref="C15" si="0">D6/($G$3*365*24)</f>
        <v>6.6590563165905628E-2</v>
      </c>
      <c r="D15" s="2">
        <f>$B$10+$C$10*C15+$D$10*C15+$E$10</f>
        <v>-7.7979452054794516</v>
      </c>
      <c r="E15" s="12" t="s">
        <v>31</v>
      </c>
      <c r="F15" s="7"/>
    </row>
    <row r="16" spans="1:7" x14ac:dyDescent="0.35">
      <c r="C16" s="6"/>
    </row>
    <row r="17" spans="1:7" x14ac:dyDescent="0.35">
      <c r="A17" s="1" t="s">
        <v>34</v>
      </c>
    </row>
    <row r="18" spans="1:7" x14ac:dyDescent="0.35">
      <c r="A18" t="s">
        <v>35</v>
      </c>
    </row>
    <row r="19" spans="1:7" ht="29" x14ac:dyDescent="0.35">
      <c r="B19" s="22" t="s">
        <v>38</v>
      </c>
      <c r="C19" t="s">
        <v>15</v>
      </c>
    </row>
    <row r="20" spans="1:7" x14ac:dyDescent="0.35">
      <c r="A20" t="s">
        <v>0</v>
      </c>
      <c r="B20" s="3">
        <f>IF(SUM($E$4:$E$6)&gt;$G$4,E4/SUM($E$4:$E$6)*$G$4,E4)</f>
        <v>25.714285714285712</v>
      </c>
      <c r="C20" s="7">
        <f>D13*B20</f>
        <v>-433.35616438356163</v>
      </c>
    </row>
    <row r="21" spans="1:7" x14ac:dyDescent="0.35">
      <c r="A21" t="s">
        <v>1</v>
      </c>
      <c r="B21" s="3">
        <f t="shared" ref="B21:B22" si="1">IF(SUM($E$4:$E$6)&gt;$G$4,E5/SUM($E$4:$E$6)*$G$4,E5)</f>
        <v>20.571428571428569</v>
      </c>
      <c r="C21" s="7">
        <f>B21*D14</f>
        <v>-387.61643835616434</v>
      </c>
    </row>
    <row r="22" spans="1:7" x14ac:dyDescent="0.35">
      <c r="A22" t="s">
        <v>2</v>
      </c>
      <c r="B22" s="3">
        <f t="shared" si="1"/>
        <v>7.7142857142857135</v>
      </c>
      <c r="C22" s="7">
        <f>B22*D15</f>
        <v>-60.155577299412904</v>
      </c>
    </row>
    <row r="23" spans="1:7" x14ac:dyDescent="0.35">
      <c r="A23" t="s">
        <v>23</v>
      </c>
      <c r="B23" s="8"/>
      <c r="C23" s="8">
        <f>SUM(C20:C22)</f>
        <v>-881.1281800391389</v>
      </c>
    </row>
    <row r="25" spans="1:7" s="24" customFormat="1" x14ac:dyDescent="0.35">
      <c r="A25" s="24" t="s">
        <v>47</v>
      </c>
    </row>
    <row r="27" spans="1:7" ht="43.5" x14ac:dyDescent="0.35">
      <c r="A27" s="4"/>
      <c r="B27" s="4" t="s">
        <v>3</v>
      </c>
      <c r="C27" s="4" t="s">
        <v>4</v>
      </c>
      <c r="D27" s="9" t="s">
        <v>5</v>
      </c>
      <c r="E27" s="11" t="s">
        <v>41</v>
      </c>
      <c r="F27" t="s">
        <v>10</v>
      </c>
      <c r="G27">
        <v>60</v>
      </c>
    </row>
    <row r="28" spans="1:7" x14ac:dyDescent="0.35">
      <c r="A28" s="4" t="s">
        <v>0</v>
      </c>
      <c r="B28" s="4">
        <v>50</v>
      </c>
      <c r="C28" s="4" t="s">
        <v>6</v>
      </c>
      <c r="D28" s="10">
        <v>135000</v>
      </c>
      <c r="E28" s="4">
        <v>45</v>
      </c>
      <c r="F28" t="s">
        <v>16</v>
      </c>
      <c r="G28">
        <v>54</v>
      </c>
    </row>
    <row r="29" spans="1:7" x14ac:dyDescent="0.35">
      <c r="A29" s="4" t="s">
        <v>1</v>
      </c>
      <c r="B29" s="4">
        <v>40</v>
      </c>
      <c r="C29" s="4" t="s">
        <v>7</v>
      </c>
      <c r="D29" s="10">
        <v>250000</v>
      </c>
      <c r="E29" s="4">
        <v>36</v>
      </c>
    </row>
    <row r="30" spans="1:7" x14ac:dyDescent="0.35">
      <c r="A30" s="4" t="s">
        <v>2</v>
      </c>
      <c r="B30" s="4">
        <v>30</v>
      </c>
      <c r="C30" s="4" t="s">
        <v>8</v>
      </c>
      <c r="D30" s="10">
        <v>65000</v>
      </c>
      <c r="E30" s="13">
        <v>27</v>
      </c>
    </row>
    <row r="31" spans="1:7" x14ac:dyDescent="0.35">
      <c r="E31" s="14"/>
    </row>
    <row r="32" spans="1:7" x14ac:dyDescent="0.35">
      <c r="A32" s="1" t="s">
        <v>30</v>
      </c>
    </row>
    <row r="33" spans="1:6" x14ac:dyDescent="0.35">
      <c r="A33" s="1"/>
      <c r="B33" s="4" t="s">
        <v>11</v>
      </c>
      <c r="C33" s="4" t="s">
        <v>39</v>
      </c>
      <c r="D33" s="4" t="s">
        <v>40</v>
      </c>
      <c r="E33" s="4" t="s">
        <v>12</v>
      </c>
    </row>
    <row r="34" spans="1:6" x14ac:dyDescent="0.35">
      <c r="A34" s="1"/>
      <c r="B34" s="4">
        <v>-5</v>
      </c>
      <c r="C34" s="4">
        <v>-15</v>
      </c>
      <c r="D34" s="4">
        <v>-12</v>
      </c>
      <c r="E34" s="4">
        <v>-1</v>
      </c>
    </row>
    <row r="36" spans="1:6" x14ac:dyDescent="0.35">
      <c r="C36" t="s">
        <v>13</v>
      </c>
      <c r="D36" t="s">
        <v>14</v>
      </c>
    </row>
    <row r="37" spans="1:6" x14ac:dyDescent="0.35">
      <c r="A37" t="s">
        <v>0</v>
      </c>
      <c r="B37" s="3"/>
      <c r="C37" s="6">
        <f>D28/($G$27*365*24)</f>
        <v>0.25684931506849318</v>
      </c>
      <c r="D37" s="2">
        <f>0+$C$10*C37+$D$10+$E$10</f>
        <v>-16.852739726027398</v>
      </c>
      <c r="E37" s="12" t="s">
        <v>32</v>
      </c>
      <c r="F37" s="7"/>
    </row>
    <row r="38" spans="1:6" x14ac:dyDescent="0.35">
      <c r="A38" t="s">
        <v>1</v>
      </c>
      <c r="B38" s="3"/>
      <c r="C38" s="6">
        <f t="shared" ref="C38" si="2">D29/($G$27*365*24)</f>
        <v>0.4756468797564688</v>
      </c>
      <c r="D38" s="2">
        <f>$B$10+$C$10*C38+$D$10*C38+$E$10</f>
        <v>-18.842465753424658</v>
      </c>
      <c r="E38" s="12" t="s">
        <v>33</v>
      </c>
      <c r="F38" s="7"/>
    </row>
    <row r="39" spans="1:6" x14ac:dyDescent="0.35">
      <c r="A39" t="s">
        <v>2</v>
      </c>
      <c r="B39" s="3"/>
      <c r="C39" s="6">
        <f>D30/($G$27*365*24)</f>
        <v>0.12366818873668188</v>
      </c>
      <c r="D39" s="2">
        <f>$B$10+$C$10*C39+$D$10*C39+$E$10</f>
        <v>-9.3390410958904102</v>
      </c>
      <c r="E39" s="12" t="s">
        <v>31</v>
      </c>
      <c r="F39" s="7"/>
    </row>
    <row r="41" spans="1:6" x14ac:dyDescent="0.35">
      <c r="A41" s="1" t="s">
        <v>34</v>
      </c>
    </row>
    <row r="42" spans="1:6" x14ac:dyDescent="0.35">
      <c r="A42" t="s">
        <v>35</v>
      </c>
    </row>
    <row r="43" spans="1:6" ht="29" x14ac:dyDescent="0.35">
      <c r="B43" s="22" t="s">
        <v>38</v>
      </c>
      <c r="C43" t="s">
        <v>15</v>
      </c>
    </row>
    <row r="44" spans="1:6" x14ac:dyDescent="0.35">
      <c r="A44" t="s">
        <v>0</v>
      </c>
      <c r="B44" s="3">
        <f t="shared" ref="B44:B45" si="3">E28/SUM($E$28:$E$30)*$G$28</f>
        <v>22.5</v>
      </c>
      <c r="C44" s="7">
        <f>D37*B44</f>
        <v>-379.18664383561645</v>
      </c>
    </row>
    <row r="45" spans="1:6" x14ac:dyDescent="0.35">
      <c r="A45" t="s">
        <v>1</v>
      </c>
      <c r="B45" s="3">
        <f t="shared" si="3"/>
        <v>18</v>
      </c>
      <c r="C45" s="7">
        <f>B45*D38</f>
        <v>-339.16438356164383</v>
      </c>
    </row>
    <row r="46" spans="1:6" x14ac:dyDescent="0.35">
      <c r="A46" t="s">
        <v>2</v>
      </c>
      <c r="B46" s="3">
        <f>E30/SUM($E$28:$E$30)*$G$28</f>
        <v>13.5</v>
      </c>
      <c r="C46" s="7">
        <f>B46*D39</f>
        <v>-126.07705479452054</v>
      </c>
      <c r="D46" t="s">
        <v>48</v>
      </c>
    </row>
    <row r="47" spans="1:6" x14ac:dyDescent="0.35">
      <c r="A47" t="s">
        <v>23</v>
      </c>
      <c r="B47" s="8"/>
      <c r="C47" s="8">
        <f>SUM(C44:C46)</f>
        <v>-844.42808219178085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DDA087-96E9-45A0-B0B5-6B4D44C8512B}">
  <dimension ref="A1:N18"/>
  <sheetViews>
    <sheetView workbookViewId="0">
      <selection activeCell="K13" sqref="K13"/>
    </sheetView>
  </sheetViews>
  <sheetFormatPr defaultRowHeight="14.5" x14ac:dyDescent="0.35"/>
  <cols>
    <col min="2" max="2" width="17.453125" bestFit="1" customWidth="1"/>
    <col min="6" max="6" width="14.453125" bestFit="1" customWidth="1"/>
    <col min="8" max="8" width="14.1796875" bestFit="1" customWidth="1"/>
    <col min="9" max="9" width="14.1796875" customWidth="1"/>
    <col min="11" max="12" width="14.81640625" bestFit="1" customWidth="1"/>
    <col min="13" max="13" width="10.1796875" bestFit="1" customWidth="1"/>
    <col min="14" max="14" width="10.54296875" bestFit="1" customWidth="1"/>
  </cols>
  <sheetData>
    <row r="1" spans="1:14" x14ac:dyDescent="0.35">
      <c r="A1" s="1" t="s">
        <v>19</v>
      </c>
    </row>
    <row r="3" spans="1:14" x14ac:dyDescent="0.35">
      <c r="A3" s="4"/>
      <c r="B3" s="4" t="s">
        <v>3</v>
      </c>
      <c r="C3" s="4" t="s">
        <v>4</v>
      </c>
      <c r="D3" s="4" t="s">
        <v>5</v>
      </c>
      <c r="F3" t="s">
        <v>10</v>
      </c>
      <c r="G3">
        <v>60</v>
      </c>
    </row>
    <row r="4" spans="1:14" x14ac:dyDescent="0.35">
      <c r="A4" s="4" t="s">
        <v>0</v>
      </c>
      <c r="B4" s="4">
        <v>50</v>
      </c>
      <c r="C4" s="4" t="s">
        <v>6</v>
      </c>
      <c r="D4" s="5">
        <v>135000</v>
      </c>
    </row>
    <row r="5" spans="1:14" x14ac:dyDescent="0.35">
      <c r="A5" s="4" t="s">
        <v>1</v>
      </c>
      <c r="B5" s="4">
        <v>40</v>
      </c>
      <c r="C5" s="4" t="s">
        <v>7</v>
      </c>
      <c r="D5" s="5">
        <v>250000</v>
      </c>
    </row>
    <row r="6" spans="1:14" x14ac:dyDescent="0.35">
      <c r="A6" s="4" t="s">
        <v>2</v>
      </c>
      <c r="B6" s="4">
        <v>15</v>
      </c>
      <c r="C6" s="4" t="s">
        <v>8</v>
      </c>
      <c r="D6" s="5">
        <v>35000</v>
      </c>
    </row>
    <row r="8" spans="1:14" x14ac:dyDescent="0.35">
      <c r="A8" s="1" t="s">
        <v>30</v>
      </c>
    </row>
    <row r="9" spans="1:14" x14ac:dyDescent="0.35">
      <c r="A9" s="1"/>
      <c r="B9" s="4" t="s">
        <v>11</v>
      </c>
      <c r="C9" s="4" t="s">
        <v>39</v>
      </c>
      <c r="D9" s="4" t="s">
        <v>40</v>
      </c>
      <c r="E9" s="4" t="s">
        <v>12</v>
      </c>
    </row>
    <row r="10" spans="1:14" x14ac:dyDescent="0.35">
      <c r="A10" s="1"/>
      <c r="B10" s="4">
        <v>5</v>
      </c>
      <c r="C10" s="4">
        <v>15</v>
      </c>
      <c r="D10" s="4">
        <v>12</v>
      </c>
      <c r="E10" s="4">
        <v>1</v>
      </c>
    </row>
    <row r="12" spans="1:14" x14ac:dyDescent="0.35">
      <c r="B12" t="s">
        <v>9</v>
      </c>
      <c r="C12" t="s">
        <v>20</v>
      </c>
      <c r="D12" t="s">
        <v>13</v>
      </c>
      <c r="F12" t="s">
        <v>21</v>
      </c>
      <c r="G12" t="s">
        <v>22</v>
      </c>
      <c r="H12" t="s">
        <v>25</v>
      </c>
      <c r="J12" t="s">
        <v>62</v>
      </c>
      <c r="K12" t="s">
        <v>59</v>
      </c>
      <c r="L12" t="s">
        <v>24</v>
      </c>
    </row>
    <row r="13" spans="1:14" x14ac:dyDescent="0.35">
      <c r="A13" t="s">
        <v>0</v>
      </c>
      <c r="B13" s="3">
        <f>IF(SUM($B$4:$B$6)&gt;$G$3,B4/SUM($B$4:$B$6)*$G$3,B4)</f>
        <v>28.571428571428569</v>
      </c>
      <c r="C13">
        <v>0</v>
      </c>
      <c r="D13" s="6">
        <f>D4/(B13*24*365)</f>
        <v>0.53938356164383572</v>
      </c>
      <c r="F13" s="7">
        <f>0*B10</f>
        <v>0</v>
      </c>
      <c r="G13" s="7">
        <f>D13*B13*$C$10</f>
        <v>231.16438356164389</v>
      </c>
      <c r="H13" s="7">
        <f>B13*$E$10</f>
        <v>28.571428571428569</v>
      </c>
      <c r="J13" s="6">
        <v>1</v>
      </c>
      <c r="K13" s="3">
        <f>MIN((J13*B4/SUMPRODUCT($J$13:$J$15,$B$4:$B$6))*$G$3,J13*B4)</f>
        <v>28.054443554843871</v>
      </c>
      <c r="L13" s="7">
        <f>K13*$D$10</f>
        <v>336.65332265812646</v>
      </c>
      <c r="N13" s="8">
        <f>F13+G13+L13+H13</f>
        <v>596.3891347911989</v>
      </c>
    </row>
    <row r="14" spans="1:14" x14ac:dyDescent="0.35">
      <c r="A14" t="s">
        <v>1</v>
      </c>
      <c r="B14" s="3">
        <f t="shared" ref="B14:B15" si="0">IF(SUM($B$4:$B$6)&gt;$G$3,B5/SUM($B$4:$B$6)*$G$3,B5)</f>
        <v>22.857142857142854</v>
      </c>
      <c r="C14">
        <f>MIN(B5/SUM($B$5:$B$6)*$G$3,B5)</f>
        <v>40</v>
      </c>
      <c r="D14" s="6">
        <f>D5/(B14*24*365)</f>
        <v>1.2485730593607309</v>
      </c>
      <c r="F14" s="7">
        <f>C14*B10</f>
        <v>200</v>
      </c>
      <c r="G14" s="7">
        <f t="shared" ref="G14:G15" si="1">D14*B14*$C$10</f>
        <v>428.08219178082197</v>
      </c>
      <c r="H14" s="7">
        <f>B14*$E$10</f>
        <v>22.857142857142854</v>
      </c>
      <c r="J14" s="6">
        <f>D5/(B14*24*365)</f>
        <v>1.2485730593607309</v>
      </c>
      <c r="K14" s="3">
        <f t="shared" ref="K14:K15" si="2">MIN((J14*B5/SUMPRODUCT($J$13:$J$15,$B$4:$B$6))*$G$3,J14*B5)</f>
        <v>28.022417934347484</v>
      </c>
      <c r="L14" s="7">
        <f t="shared" ref="L14:L15" si="3">K14*$D$10</f>
        <v>336.26901521216979</v>
      </c>
      <c r="N14" s="8">
        <f>F14+G14+L14+H14</f>
        <v>987.20834985013471</v>
      </c>
    </row>
    <row r="15" spans="1:14" x14ac:dyDescent="0.35">
      <c r="A15" t="s">
        <v>2</v>
      </c>
      <c r="B15" s="3">
        <f t="shared" si="0"/>
        <v>8.5714285714285712</v>
      </c>
      <c r="C15">
        <f>MIN(B6/SUM($B$5:$B$6)*$G$3,B6)</f>
        <v>15</v>
      </c>
      <c r="D15" s="6">
        <f>D6/(B15*24*365)</f>
        <v>0.46613394216133941</v>
      </c>
      <c r="F15" s="7">
        <f>C15*B10</f>
        <v>75</v>
      </c>
      <c r="G15" s="7">
        <f t="shared" si="1"/>
        <v>59.931506849315063</v>
      </c>
      <c r="H15" s="7">
        <f>B15*$E$10</f>
        <v>8.5714285714285712</v>
      </c>
      <c r="J15" s="6">
        <f>D6/(B15*24*365)</f>
        <v>0.46613394216133941</v>
      </c>
      <c r="K15" s="3">
        <f t="shared" si="2"/>
        <v>3.9231385108086467</v>
      </c>
      <c r="L15" s="7">
        <f t="shared" si="3"/>
        <v>47.077662129703761</v>
      </c>
      <c r="N15" s="8">
        <f>F15+G15+L15+H15</f>
        <v>190.58059755044741</v>
      </c>
    </row>
    <row r="17" spans="13:14" x14ac:dyDescent="0.35">
      <c r="M17" t="s">
        <v>23</v>
      </c>
      <c r="N17" s="8">
        <f>SUM(F13:H15,L13:L15)</f>
        <v>1774.1780821917812</v>
      </c>
    </row>
    <row r="18" spans="13:14" x14ac:dyDescent="0.35">
      <c r="N18" s="8">
        <f>SUM(N13:N15)</f>
        <v>1774.1780821917812</v>
      </c>
    </row>
  </sheetData>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B24EFD-7F11-4400-9452-DEF86B3A6BA4}">
  <dimension ref="A1:N45"/>
  <sheetViews>
    <sheetView topLeftCell="E28" workbookViewId="0">
      <selection activeCell="E33" sqref="E33"/>
    </sheetView>
  </sheetViews>
  <sheetFormatPr defaultRowHeight="14.5" x14ac:dyDescent="0.35"/>
  <cols>
    <col min="2" max="2" width="23.81640625" bestFit="1" customWidth="1"/>
    <col min="3" max="3" width="26" bestFit="1" customWidth="1"/>
    <col min="5" max="5" width="37.81640625" customWidth="1"/>
    <col min="6" max="6" width="23.26953125" bestFit="1" customWidth="1"/>
    <col min="7" max="7" width="15.1796875" bestFit="1" customWidth="1"/>
    <col min="8" max="8" width="14.1796875" bestFit="1" customWidth="1"/>
    <col min="9" max="9" width="14.1796875" customWidth="1"/>
    <col min="11" max="12" width="14.81640625" bestFit="1" customWidth="1"/>
    <col min="13" max="13" width="10.1796875" bestFit="1" customWidth="1"/>
    <col min="14" max="14" width="10.54296875" bestFit="1" customWidth="1"/>
  </cols>
  <sheetData>
    <row r="1" spans="1:14" x14ac:dyDescent="0.35">
      <c r="A1" s="1" t="s">
        <v>26</v>
      </c>
    </row>
    <row r="3" spans="1:14" ht="43.5" x14ac:dyDescent="0.35">
      <c r="A3" s="4"/>
      <c r="B3" s="4" t="s">
        <v>3</v>
      </c>
      <c r="C3" s="4" t="s">
        <v>4</v>
      </c>
      <c r="D3" s="4" t="s">
        <v>5</v>
      </c>
      <c r="E3" s="11" t="s">
        <v>41</v>
      </c>
      <c r="F3" t="s">
        <v>10</v>
      </c>
      <c r="G3">
        <v>60</v>
      </c>
    </row>
    <row r="4" spans="1:14" x14ac:dyDescent="0.35">
      <c r="A4" s="4" t="s">
        <v>0</v>
      </c>
      <c r="B4" s="4">
        <v>50</v>
      </c>
      <c r="C4" s="4" t="s">
        <v>6</v>
      </c>
      <c r="D4" s="5">
        <v>135000</v>
      </c>
      <c r="E4" s="4">
        <v>45</v>
      </c>
      <c r="F4" t="s">
        <v>16</v>
      </c>
      <c r="G4">
        <v>54</v>
      </c>
    </row>
    <row r="5" spans="1:14" x14ac:dyDescent="0.35">
      <c r="A5" s="4" t="s">
        <v>1</v>
      </c>
      <c r="B5" s="4">
        <v>40</v>
      </c>
      <c r="C5" s="4" t="s">
        <v>7</v>
      </c>
      <c r="D5" s="5">
        <v>250000</v>
      </c>
      <c r="E5" s="4">
        <v>36</v>
      </c>
    </row>
    <row r="6" spans="1:14" x14ac:dyDescent="0.35">
      <c r="A6" s="4" t="s">
        <v>2</v>
      </c>
      <c r="B6" s="4">
        <v>15</v>
      </c>
      <c r="C6" s="4" t="s">
        <v>8</v>
      </c>
      <c r="D6" s="5">
        <v>35000</v>
      </c>
      <c r="E6" s="13">
        <v>13.5</v>
      </c>
    </row>
    <row r="8" spans="1:14" x14ac:dyDescent="0.35">
      <c r="A8" s="1" t="s">
        <v>30</v>
      </c>
    </row>
    <row r="9" spans="1:14" x14ac:dyDescent="0.35">
      <c r="A9" s="1"/>
      <c r="B9" s="4" t="s">
        <v>11</v>
      </c>
      <c r="C9" s="4" t="s">
        <v>39</v>
      </c>
      <c r="D9" s="4" t="s">
        <v>40</v>
      </c>
      <c r="E9" s="4" t="s">
        <v>12</v>
      </c>
    </row>
    <row r="10" spans="1:14" x14ac:dyDescent="0.35">
      <c r="A10" s="1"/>
      <c r="B10" s="4">
        <v>-5</v>
      </c>
      <c r="C10" s="4">
        <v>-15</v>
      </c>
      <c r="D10" s="4">
        <v>-12</v>
      </c>
      <c r="E10" s="4">
        <v>-1</v>
      </c>
    </row>
    <row r="12" spans="1:14" s="15" customFormat="1" x14ac:dyDescent="0.35">
      <c r="B12" s="15" t="s">
        <v>9</v>
      </c>
    </row>
    <row r="13" spans="1:14" s="15" customFormat="1" x14ac:dyDescent="0.35">
      <c r="A13" s="15" t="s">
        <v>0</v>
      </c>
      <c r="B13" s="16">
        <f>IF(SUM($B$4:$B$6)&gt;$G$3,B4/SUM($B$4:$B$6)*$G$3,B4)</f>
        <v>28.571428571428569</v>
      </c>
      <c r="D13" s="17"/>
      <c r="F13" s="18"/>
      <c r="G13" s="18"/>
      <c r="H13" s="18"/>
      <c r="J13" s="17"/>
      <c r="K13" s="16"/>
      <c r="L13" s="18"/>
      <c r="N13" s="19"/>
    </row>
    <row r="14" spans="1:14" s="15" customFormat="1" x14ac:dyDescent="0.35">
      <c r="A14" s="15" t="s">
        <v>1</v>
      </c>
      <c r="B14" s="16">
        <f t="shared" ref="B14:B15" si="0">IF(SUM($B$4:$B$6)&gt;$G$3,B5/SUM($B$4:$B$6)*$G$3,B5)</f>
        <v>22.857142857142854</v>
      </c>
      <c r="D14" s="17"/>
      <c r="F14" s="18"/>
      <c r="G14" s="18"/>
      <c r="H14" s="18"/>
      <c r="J14" s="17"/>
      <c r="K14" s="16"/>
      <c r="L14" s="18"/>
      <c r="N14" s="19"/>
    </row>
    <row r="15" spans="1:14" s="15" customFormat="1" x14ac:dyDescent="0.35">
      <c r="A15" s="15" t="s">
        <v>2</v>
      </c>
      <c r="B15" s="16">
        <f t="shared" si="0"/>
        <v>8.5714285714285712</v>
      </c>
      <c r="D15" s="17"/>
      <c r="F15" s="18"/>
      <c r="G15" s="18"/>
      <c r="H15" s="18"/>
      <c r="J15" s="17"/>
      <c r="K15" s="16"/>
      <c r="L15" s="18"/>
      <c r="N15" s="19"/>
    </row>
    <row r="17" spans="1:14" s="1" customFormat="1" x14ac:dyDescent="0.35">
      <c r="A17" s="1" t="s">
        <v>42</v>
      </c>
      <c r="N17" s="20"/>
    </row>
    <row r="18" spans="1:14" x14ac:dyDescent="0.35">
      <c r="A18" s="15" t="s">
        <v>36</v>
      </c>
      <c r="F18" s="15"/>
      <c r="N18" s="8"/>
    </row>
    <row r="19" spans="1:14" x14ac:dyDescent="0.35">
      <c r="B19" t="s">
        <v>27</v>
      </c>
      <c r="C19" t="s">
        <v>28</v>
      </c>
      <c r="D19" t="s">
        <v>29</v>
      </c>
      <c r="F19" t="s">
        <v>21</v>
      </c>
      <c r="G19" t="s">
        <v>22</v>
      </c>
      <c r="H19" t="s">
        <v>25</v>
      </c>
      <c r="J19" t="s">
        <v>61</v>
      </c>
      <c r="K19" t="s">
        <v>60</v>
      </c>
      <c r="L19" t="s">
        <v>24</v>
      </c>
      <c r="N19" t="s">
        <v>43</v>
      </c>
    </row>
    <row r="20" spans="1:14" x14ac:dyDescent="0.35">
      <c r="A20" t="s">
        <v>0</v>
      </c>
      <c r="B20" s="3">
        <f>IF(SUM($E$4:$E$6)&gt;$G$4,E4/SUM($E$4:$E$6)*$G$4,E4)</f>
        <v>25.714285714285712</v>
      </c>
      <c r="C20">
        <v>0</v>
      </c>
      <c r="D20" s="6">
        <f>D4/(B13*24*365)</f>
        <v>0.53938356164383572</v>
      </c>
      <c r="F20" s="7">
        <f>C20*B10</f>
        <v>0</v>
      </c>
      <c r="G20" s="7">
        <f>B20*D20*$C$10</f>
        <v>-208.04794520547949</v>
      </c>
      <c r="H20" s="7">
        <f>B20*$E$10</f>
        <v>-25.714285714285712</v>
      </c>
      <c r="J20" s="21">
        <v>1</v>
      </c>
      <c r="K20" s="3">
        <f>MIN((J20*E4/SUMPRODUCT($J$20:$J$22,$E$4:$E$6))*$G$4,J20*E4)</f>
        <v>25.248999199359485</v>
      </c>
      <c r="L20" s="7">
        <f>K20*$D$10</f>
        <v>-302.9879903923138</v>
      </c>
      <c r="N20" s="8">
        <f>SUM(F20,G20,H20,L20)</f>
        <v>-536.75022131207902</v>
      </c>
    </row>
    <row r="21" spans="1:14" x14ac:dyDescent="0.35">
      <c r="A21" t="s">
        <v>1</v>
      </c>
      <c r="B21" s="3">
        <f>IF(SUM($E$4:$E$6)&gt;$G$4,E5/SUM($E$4:$E$6)*$G$4,E5)</f>
        <v>20.571428571428569</v>
      </c>
      <c r="C21">
        <f>MIN(E5/SUM($E$5:$E$6)*$G$4,E5)</f>
        <v>36</v>
      </c>
      <c r="D21" s="6">
        <f>D5/(B14*24*365)</f>
        <v>1.2485730593607309</v>
      </c>
      <c r="F21" s="7">
        <f>C21*B10</f>
        <v>-180</v>
      </c>
      <c r="G21" s="7">
        <f t="shared" ref="G21:G22" si="1">B21*D21*$C$10</f>
        <v>-385.27397260273983</v>
      </c>
      <c r="H21" s="7">
        <f>B21*$E$10</f>
        <v>-20.571428571428569</v>
      </c>
      <c r="J21" s="21">
        <f>D5/(B14*24*365)</f>
        <v>1.2485730593607309</v>
      </c>
      <c r="K21" s="3">
        <f t="shared" ref="K21:K22" si="2">MIN((J21*E5/SUMPRODUCT($J$20:$J$22,$E$4:$E$6))*$G$4,J21*E5)</f>
        <v>25.220176140912734</v>
      </c>
      <c r="L21" s="7">
        <f t="shared" ref="L21:L22" si="3">K21*$D$10</f>
        <v>-302.64211369095278</v>
      </c>
      <c r="N21" s="8">
        <f>SUM(F21,G21,H21,L21)</f>
        <v>-888.48751486512117</v>
      </c>
    </row>
    <row r="22" spans="1:14" x14ac:dyDescent="0.35">
      <c r="A22" t="s">
        <v>2</v>
      </c>
      <c r="B22" s="3">
        <f>IF(SUM($E$4:$E$6)&gt;$G$4,E6/SUM($E$4:$E$6)*$G$4,E6)</f>
        <v>7.7142857142857135</v>
      </c>
      <c r="C22">
        <f>MIN(E6/SUM($E$5:$E$6)*$G$4,E6)</f>
        <v>13.5</v>
      </c>
      <c r="D22" s="6">
        <f>D6/(B15*24*365)</f>
        <v>0.46613394216133941</v>
      </c>
      <c r="F22" s="7">
        <f>C22*B10</f>
        <v>-67.5</v>
      </c>
      <c r="G22" s="7">
        <f t="shared" si="1"/>
        <v>-53.938356164383556</v>
      </c>
      <c r="H22" s="7">
        <f>B22*$E$10</f>
        <v>-7.7142857142857135</v>
      </c>
      <c r="J22" s="21">
        <f>D6/(B15*24*365)</f>
        <v>0.46613394216133941</v>
      </c>
      <c r="K22" s="3">
        <f t="shared" si="2"/>
        <v>3.5308246597277817</v>
      </c>
      <c r="L22" s="7">
        <f t="shared" si="3"/>
        <v>-42.369895916733384</v>
      </c>
      <c r="N22" s="8">
        <f>SUM(F22,G22,H22,L22)</f>
        <v>-171.52253779540266</v>
      </c>
    </row>
    <row r="23" spans="1:14" x14ac:dyDescent="0.35">
      <c r="M23" t="s">
        <v>44</v>
      </c>
      <c r="N23" s="8">
        <f>SUM(N20:N22)</f>
        <v>-1596.7602739726028</v>
      </c>
    </row>
    <row r="24" spans="1:14" x14ac:dyDescent="0.35">
      <c r="F24" s="15"/>
    </row>
    <row r="25" spans="1:14" x14ac:dyDescent="0.35">
      <c r="G25" s="7"/>
      <c r="J25" s="21"/>
      <c r="K25" s="3"/>
      <c r="L25" s="33"/>
      <c r="N25" s="8"/>
    </row>
    <row r="26" spans="1:14" x14ac:dyDescent="0.35">
      <c r="G26" s="7"/>
      <c r="J26" s="21"/>
      <c r="K26" s="3"/>
      <c r="L26" s="33"/>
      <c r="N26" s="8"/>
    </row>
    <row r="27" spans="1:14" x14ac:dyDescent="0.35">
      <c r="G27" s="7"/>
      <c r="J27" s="21"/>
      <c r="K27" s="3"/>
      <c r="L27" s="33"/>
      <c r="N27" s="8"/>
    </row>
    <row r="28" spans="1:14" s="14" customFormat="1" x14ac:dyDescent="0.35"/>
    <row r="29" spans="1:14" x14ac:dyDescent="0.35">
      <c r="A29" s="23" t="s">
        <v>37</v>
      </c>
    </row>
    <row r="30" spans="1:14" x14ac:dyDescent="0.35">
      <c r="A30" s="1" t="s">
        <v>30</v>
      </c>
    </row>
    <row r="31" spans="1:14" x14ac:dyDescent="0.35">
      <c r="A31" s="1"/>
      <c r="B31" s="4" t="s">
        <v>11</v>
      </c>
      <c r="C31" s="4" t="s">
        <v>39</v>
      </c>
      <c r="D31" s="4" t="s">
        <v>40</v>
      </c>
      <c r="E31" s="4" t="s">
        <v>12</v>
      </c>
    </row>
    <row r="32" spans="1:14" x14ac:dyDescent="0.35">
      <c r="A32" s="1"/>
      <c r="B32" s="4">
        <v>-5</v>
      </c>
      <c r="C32" s="4">
        <v>15</v>
      </c>
      <c r="D32" s="4">
        <v>12</v>
      </c>
      <c r="E32" s="4">
        <v>-1</v>
      </c>
    </row>
    <row r="34" spans="1:14" x14ac:dyDescent="0.35">
      <c r="A34" s="15" t="s">
        <v>45</v>
      </c>
    </row>
    <row r="35" spans="1:14" x14ac:dyDescent="0.35">
      <c r="B35" t="s">
        <v>27</v>
      </c>
      <c r="C35" t="s">
        <v>28</v>
      </c>
      <c r="F35" t="s">
        <v>21</v>
      </c>
      <c r="H35" t="s">
        <v>25</v>
      </c>
    </row>
    <row r="36" spans="1:14" x14ac:dyDescent="0.35">
      <c r="A36" t="s">
        <v>0</v>
      </c>
      <c r="B36" s="3">
        <f>IF(SUM($E$4:$E$6)&gt;$G$4,E4/SUM($E$4:$E$6)*$G$4,E4)</f>
        <v>25.714285714285712</v>
      </c>
      <c r="C36">
        <v>0</v>
      </c>
      <c r="D36" s="6"/>
      <c r="F36" s="7">
        <f>C36*$B$32</f>
        <v>0</v>
      </c>
      <c r="H36" s="7">
        <f>B36*$E$32</f>
        <v>-25.714285714285712</v>
      </c>
    </row>
    <row r="37" spans="1:14" x14ac:dyDescent="0.35">
      <c r="A37" t="s">
        <v>1</v>
      </c>
      <c r="B37" s="3">
        <f t="shared" ref="B37:B38" si="4">IF(SUM($E$4:$E$6)&gt;$G$4,E5/SUM($E$4:$E$6)*$G$4,E5)</f>
        <v>20.571428571428569</v>
      </c>
      <c r="C37">
        <f>MIN(E5/SUM($E$5:$E$6)*$G$4,E5)</f>
        <v>36</v>
      </c>
      <c r="D37" s="6"/>
      <c r="F37" s="7">
        <f t="shared" ref="F37:F38" si="5">C37*$B$32</f>
        <v>-180</v>
      </c>
      <c r="H37" s="7">
        <f t="shared" ref="H37:H38" si="6">B37*$E$32</f>
        <v>-20.571428571428569</v>
      </c>
    </row>
    <row r="38" spans="1:14" x14ac:dyDescent="0.35">
      <c r="A38" t="s">
        <v>2</v>
      </c>
      <c r="B38" s="3">
        <f t="shared" si="4"/>
        <v>7.7142857142857135</v>
      </c>
      <c r="C38">
        <f>MIN(E6/SUM($E$5:$E$6)*$G$4,E6)</f>
        <v>13.5</v>
      </c>
      <c r="D38" s="6"/>
      <c r="F38" s="7">
        <f t="shared" si="5"/>
        <v>-67.5</v>
      </c>
      <c r="H38" s="7">
        <f t="shared" si="6"/>
        <v>-7.7142857142857135</v>
      </c>
    </row>
    <row r="40" spans="1:14" s="15" customFormat="1" x14ac:dyDescent="0.35">
      <c r="A40" s="15" t="s">
        <v>46</v>
      </c>
    </row>
    <row r="41" spans="1:14" x14ac:dyDescent="0.35">
      <c r="B41" t="s">
        <v>9</v>
      </c>
      <c r="D41" t="s">
        <v>13</v>
      </c>
      <c r="G41" t="s">
        <v>22</v>
      </c>
      <c r="J41" t="s">
        <v>61</v>
      </c>
      <c r="K41" t="s">
        <v>59</v>
      </c>
      <c r="L41" t="s">
        <v>24</v>
      </c>
      <c r="N41" t="s">
        <v>43</v>
      </c>
    </row>
    <row r="42" spans="1:14" x14ac:dyDescent="0.35">
      <c r="A42" t="s">
        <v>0</v>
      </c>
      <c r="B42" s="3">
        <f>B4/SUM($B$4:$B$6)*$G$3</f>
        <v>28.571428571428569</v>
      </c>
      <c r="D42" s="6">
        <f>D4/(B13*24*365)</f>
        <v>0.53938356164383572</v>
      </c>
      <c r="G42" s="7">
        <f>B42*D42*$C$32</f>
        <v>231.16438356164389</v>
      </c>
      <c r="J42" s="21">
        <v>1</v>
      </c>
      <c r="K42" s="3">
        <f>MIN((J42*B4/SUMPRODUCT($J$42:$J$44,$B$4:$B$6))*$G$3,J42*B4)</f>
        <v>28.054443554843871</v>
      </c>
      <c r="L42" s="7">
        <f>K42*$D$32</f>
        <v>336.65332265812646</v>
      </c>
      <c r="N42" s="8">
        <f>SUM(F36,G42,H36,L42)</f>
        <v>542.10342050548456</v>
      </c>
    </row>
    <row r="43" spans="1:14" x14ac:dyDescent="0.35">
      <c r="A43" t="s">
        <v>1</v>
      </c>
      <c r="B43" s="3">
        <f t="shared" ref="B43:B44" si="7">B5/SUM($B$4:$B$6)*$G$3</f>
        <v>22.857142857142854</v>
      </c>
      <c r="D43" s="6">
        <f t="shared" ref="D43:D44" si="8">D5/(B14*24*365)</f>
        <v>1.2485730593607309</v>
      </c>
      <c r="G43" s="7">
        <f t="shared" ref="G43:G44" si="9">B43*D43*$C$32</f>
        <v>428.08219178082197</v>
      </c>
      <c r="J43" s="21">
        <f>D5/(B43*24*365)</f>
        <v>1.2485730593607309</v>
      </c>
      <c r="K43" s="3">
        <f t="shared" ref="K43:K44" si="10">MIN((J43*B5/SUMPRODUCT($J$42:$J$44,$B$4:$B$6))*$G$3,J43*B5)</f>
        <v>28.022417934347484</v>
      </c>
      <c r="L43" s="7">
        <f t="shared" ref="L43:L44" si="11">K43*$D$32</f>
        <v>336.26901521216979</v>
      </c>
      <c r="N43" s="8">
        <f t="shared" ref="N43:N44" si="12">SUM(F37,G43,H37,L43)</f>
        <v>563.77977842156315</v>
      </c>
    </row>
    <row r="44" spans="1:14" x14ac:dyDescent="0.35">
      <c r="A44" t="s">
        <v>2</v>
      </c>
      <c r="B44" s="3">
        <f t="shared" si="7"/>
        <v>8.5714285714285712</v>
      </c>
      <c r="D44" s="6">
        <f t="shared" si="8"/>
        <v>0.46613394216133941</v>
      </c>
      <c r="G44" s="7">
        <f t="shared" si="9"/>
        <v>59.931506849315063</v>
      </c>
      <c r="J44" s="21">
        <f>D6/(B44*24*365)</f>
        <v>0.46613394216133941</v>
      </c>
      <c r="K44" s="3">
        <f t="shared" si="10"/>
        <v>3.9231385108086467</v>
      </c>
      <c r="L44" s="7">
        <f t="shared" si="11"/>
        <v>47.077662129703761</v>
      </c>
      <c r="N44" s="8">
        <f t="shared" si="12"/>
        <v>31.794883264733109</v>
      </c>
    </row>
    <row r="45" spans="1:14" x14ac:dyDescent="0.35">
      <c r="M45" t="s">
        <v>44</v>
      </c>
      <c r="N45" s="8">
        <f>SUM(N42:N44)</f>
        <v>1137.6780821917807</v>
      </c>
    </row>
  </sheetData>
  <pageMargins left="0.7" right="0.7" top="0.75" bottom="0.75" header="0.3" footer="0.3"/>
  <legacy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8EA7BC-5EA1-4E40-A50B-AC7FA406851F}">
  <dimension ref="A1:J8"/>
  <sheetViews>
    <sheetView workbookViewId="0">
      <selection activeCell="A11" sqref="A11"/>
    </sheetView>
  </sheetViews>
  <sheetFormatPr defaultRowHeight="14.5" x14ac:dyDescent="0.35"/>
  <cols>
    <col min="1" max="1" width="35.453125" customWidth="1"/>
    <col min="2" max="10" width="10.453125" bestFit="1" customWidth="1"/>
  </cols>
  <sheetData>
    <row r="1" spans="1:10" x14ac:dyDescent="0.35">
      <c r="A1" s="1" t="s">
        <v>50</v>
      </c>
    </row>
    <row r="3" spans="1:10" x14ac:dyDescent="0.35">
      <c r="A3" s="25"/>
      <c r="B3" s="35" t="s">
        <v>51</v>
      </c>
      <c r="C3" s="36"/>
      <c r="D3" s="37"/>
      <c r="E3" s="35" t="s">
        <v>57</v>
      </c>
      <c r="F3" s="36"/>
      <c r="G3" s="37"/>
      <c r="H3" s="35" t="s">
        <v>58</v>
      </c>
      <c r="I3" s="36"/>
      <c r="J3" s="37"/>
    </row>
    <row r="4" spans="1:10" x14ac:dyDescent="0.35">
      <c r="A4" s="13" t="s">
        <v>52</v>
      </c>
      <c r="B4" s="38" t="s">
        <v>6</v>
      </c>
      <c r="C4" s="39"/>
      <c r="D4" s="40"/>
      <c r="E4" s="38" t="s">
        <v>7</v>
      </c>
      <c r="F4" s="39"/>
      <c r="G4" s="40"/>
      <c r="H4" s="38" t="s">
        <v>8</v>
      </c>
      <c r="I4" s="39"/>
      <c r="J4" s="40"/>
    </row>
    <row r="5" spans="1:10" x14ac:dyDescent="0.35">
      <c r="A5" s="31" t="s">
        <v>54</v>
      </c>
      <c r="B5" s="41">
        <v>50</v>
      </c>
      <c r="C5" s="42"/>
      <c r="D5" s="43"/>
      <c r="E5" s="41">
        <v>40</v>
      </c>
      <c r="F5" s="42"/>
      <c r="G5" s="43"/>
      <c r="H5" s="41">
        <v>15</v>
      </c>
      <c r="I5" s="42"/>
      <c r="J5" s="43"/>
    </row>
    <row r="6" spans="1:10" x14ac:dyDescent="0.35">
      <c r="A6" s="32" t="s">
        <v>53</v>
      </c>
      <c r="B6" s="26">
        <v>45615</v>
      </c>
      <c r="C6" s="27">
        <v>45639</v>
      </c>
      <c r="D6" s="28">
        <v>45694</v>
      </c>
      <c r="E6" s="26">
        <v>45625</v>
      </c>
      <c r="F6" s="27">
        <v>45662</v>
      </c>
      <c r="G6" s="28">
        <v>45708</v>
      </c>
      <c r="H6" s="26">
        <v>45626</v>
      </c>
      <c r="I6" s="27">
        <v>45662</v>
      </c>
      <c r="J6" s="28">
        <v>45708</v>
      </c>
    </row>
    <row r="7" spans="1:10" x14ac:dyDescent="0.35">
      <c r="A7" s="32" t="s">
        <v>55</v>
      </c>
      <c r="B7" s="29">
        <v>45.2</v>
      </c>
      <c r="C7" s="25">
        <v>45</v>
      </c>
      <c r="D7" s="30">
        <v>44.8</v>
      </c>
      <c r="E7" s="29">
        <v>34</v>
      </c>
      <c r="F7" s="25">
        <v>37</v>
      </c>
      <c r="G7" s="30">
        <v>37</v>
      </c>
      <c r="H7" s="29">
        <v>15</v>
      </c>
      <c r="I7" s="25">
        <v>13</v>
      </c>
      <c r="J7" s="30">
        <v>12.5</v>
      </c>
    </row>
    <row r="8" spans="1:10" x14ac:dyDescent="0.35">
      <c r="A8" s="31" t="s">
        <v>56</v>
      </c>
      <c r="B8" s="44">
        <f>AVERAGE(B7:D7)</f>
        <v>45</v>
      </c>
      <c r="C8" s="45"/>
      <c r="D8" s="46"/>
      <c r="E8" s="44">
        <f>AVERAGE(E7:G7)</f>
        <v>36</v>
      </c>
      <c r="F8" s="45"/>
      <c r="G8" s="46"/>
      <c r="H8" s="44">
        <f>AVERAGE(H7:J7)</f>
        <v>13.5</v>
      </c>
      <c r="I8" s="45"/>
      <c r="J8" s="46"/>
    </row>
  </sheetData>
  <mergeCells count="12">
    <mergeCell ref="H3:J3"/>
    <mergeCell ref="H4:J4"/>
    <mergeCell ref="H5:J5"/>
    <mergeCell ref="H8:J8"/>
    <mergeCell ref="B3:D3"/>
    <mergeCell ref="B4:D4"/>
    <mergeCell ref="B5:D5"/>
    <mergeCell ref="B8:D8"/>
    <mergeCell ref="E3:G3"/>
    <mergeCell ref="E4:G4"/>
    <mergeCell ref="E5:G5"/>
    <mergeCell ref="E8:G8"/>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95E1BDC5029614ABF43223A464FD248" ma:contentTypeVersion="17" ma:contentTypeDescription="Create a new document." ma:contentTypeScope="" ma:versionID="a9d228084ace73d2d4415d2d903250c8">
  <xsd:schema xmlns:xsd="http://www.w3.org/2001/XMLSchema" xmlns:xs="http://www.w3.org/2001/XMLSchema" xmlns:p="http://schemas.microsoft.com/office/2006/metadata/properties" xmlns:ns2="f71abe4e-f5ff-49cd-8eff-5f4949acc510" xmlns:ns3="97b6fe81-1556-4112-94ca-31043ca39b71" xmlns:ns4="cadce026-d35b-4a62-a2ee-1436bb44fb55" targetNamespace="http://schemas.microsoft.com/office/2006/metadata/properties" ma:root="true" ma:fieldsID="8427b9ec3c80439d86e1ec7502415b0c" ns2:_="" ns3:_="" ns4:_="">
    <xsd:import namespace="f71abe4e-f5ff-49cd-8eff-5f4949acc510"/>
    <xsd:import namespace="97b6fe81-1556-4112-94ca-31043ca39b71"/>
    <xsd:import namespace="cadce026-d35b-4a62-a2ee-1436bb44fb55"/>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3:SharedWithUsers" minOccurs="0"/>
                <xsd:element ref="ns3:SharedWithDetails" minOccurs="0"/>
                <xsd:element ref="ns2:MediaServiceObjectDetectorVersions" minOccurs="0"/>
                <xsd:element ref="ns2:MediaLengthInSeconds" minOccurs="0"/>
                <xsd:element ref="ns2:lcf76f155ced4ddcb4097134ff3c332f" minOccurs="0"/>
                <xsd:element ref="ns4: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71abe4e-f5ff-49cd-8eff-5f4949acc51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ObjectDetectorVersions" ma:index="20" nillable="true" ma:displayName="MediaServiceObjectDetectorVersions" ma:description="" ma:hidden="true" ma:indexed="true" ma:internalName="MediaServiceObjectDetectorVersions"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f571c05a-9bf0-4b0b-ad97-e13aed49ba31"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97b6fe81-1556-4112-94ca-31043ca39b71"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adce026-d35b-4a62-a2ee-1436bb44fb55" elementFormDefault="qualified">
    <xsd:import namespace="http://schemas.microsoft.com/office/2006/documentManagement/types"/>
    <xsd:import namespace="http://schemas.microsoft.com/office/infopath/2007/PartnerControls"/>
    <xsd:element name="TaxCatchAll" ma:index="24" nillable="true" ma:displayName="Taxonomy Catch All Column" ma:hidden="true" ma:list="{2a93f86f-df12-4503-be51-556605c1ee02}" ma:internalName="TaxCatchAll" ma:showField="CatchAllData" ma:web="97b6fe81-1556-4112-94ca-31043ca39b7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cadce026-d35b-4a62-a2ee-1436bb44fb55" xsi:nil="true"/>
    <lcf76f155ced4ddcb4097134ff3c332f xmlns="f71abe4e-f5ff-49cd-8eff-5f4949acc510">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9AF24349-8148-4E93-B99B-32BA4B44CCE8}"/>
</file>

<file path=customXml/itemProps2.xml><?xml version="1.0" encoding="utf-8"?>
<ds:datastoreItem xmlns:ds="http://schemas.openxmlformats.org/officeDocument/2006/customXml" ds:itemID="{927241BE-C1D3-4944-A356-13602A1E4C29}">
  <ds:schemaRefs>
    <ds:schemaRef ds:uri="http://schemas.microsoft.com/sharepoint/v3/contenttype/forms"/>
  </ds:schemaRefs>
</ds:datastoreItem>
</file>

<file path=customXml/itemProps3.xml><?xml version="1.0" encoding="utf-8"?>
<ds:datastoreItem xmlns:ds="http://schemas.openxmlformats.org/officeDocument/2006/customXml" ds:itemID="{4DD902CA-3705-43FD-A2FA-6792E8EE024B}">
  <ds:schemaRefs>
    <ds:schemaRef ds:uri="http://schemas.microsoft.com/office/2006/documentManagement/types"/>
    <ds:schemaRef ds:uri="http://schemas.microsoft.com/office/infopath/2007/PartnerControls"/>
    <ds:schemaRef ds:uri="http://schemas.microsoft.com/office/2006/metadata/properties"/>
    <ds:schemaRef ds:uri="http://purl.org/dc/terms/"/>
    <ds:schemaRef ds:uri="2da89b17-aba4-44fc-a2b2-cd16bb399a0c"/>
    <ds:schemaRef ds:uri="http://purl.org/dc/dcmitype/"/>
    <ds:schemaRef ds:uri="http://schemas.openxmlformats.org/package/2006/metadata/core-properties"/>
    <ds:schemaRef ds:uri="7b2ed3cc-027b-4def-ac45-32e72b7c0c82"/>
    <ds:schemaRef ds:uri="http://www.w3.org/XML/1998/namespace"/>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CMP316 positive</vt:lpstr>
      <vt:lpstr>CMP316 negative</vt:lpstr>
      <vt:lpstr>WACM1 postive</vt:lpstr>
      <vt:lpstr>WACM1 negative</vt:lpstr>
      <vt:lpstr>Example of Chargeable Capacity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March, Grace</dc:creator>
  <cp:lastModifiedBy>Spencer, Deborah</cp:lastModifiedBy>
  <dcterms:created xsi:type="dcterms:W3CDTF">2023-11-24T09:12:10Z</dcterms:created>
  <dcterms:modified xsi:type="dcterms:W3CDTF">2024-01-22T09:46:03Z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0x010100095E1BDC5029614ABF43223A464FD248</vt:lpwstr>
  </property>
  <property fmtid="{D5CDD505-2E9C-101B-9397-08002B2CF9AE}" pid="3" name="MediaServiceImageTags">
    <vt:lpwstr/>
  </property>
</Properties>
</file>