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anor.horn\Documents\3 CUSC and BSC development, Future Markets, ESO\TCR\"/>
    </mc:Choice>
  </mc:AlternateContent>
  <bookViews>
    <workbookView xWindow="0" yWindow="0" windowWidth="20490" windowHeight="7230"/>
  </bookViews>
  <sheets>
    <sheet name="Worked Example (pre TCR)" sheetId="5" r:id="rId1"/>
    <sheet name="Worked Example (post TCR)" sheetId="2" r:id="rId2"/>
    <sheet name="Worked Example (post TCR) floor" sheetId="4" r:id="rId3"/>
    <sheet name="Data Tables" sheetId="1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5" l="1"/>
  <c r="C9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2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80" i="5"/>
  <c r="C4" i="5"/>
  <c r="B50" i="5" s="1"/>
  <c r="C6" i="5"/>
  <c r="C3" i="5"/>
  <c r="B49" i="5" s="1"/>
  <c r="B51" i="5" l="1"/>
  <c r="H45" i="5" l="1"/>
  <c r="E45" i="5"/>
  <c r="D45" i="5"/>
  <c r="H44" i="5"/>
  <c r="E44" i="5"/>
  <c r="D44" i="5"/>
  <c r="H43" i="5"/>
  <c r="E43" i="5"/>
  <c r="D43" i="5"/>
  <c r="H42" i="5"/>
  <c r="E42" i="5"/>
  <c r="D42" i="5"/>
  <c r="H41" i="5"/>
  <c r="E41" i="5"/>
  <c r="D41" i="5"/>
  <c r="H40" i="5"/>
  <c r="E40" i="5"/>
  <c r="D40" i="5"/>
  <c r="H39" i="5"/>
  <c r="E39" i="5"/>
  <c r="D39" i="5"/>
  <c r="H38" i="5"/>
  <c r="E38" i="5"/>
  <c r="D38" i="5"/>
  <c r="H37" i="5"/>
  <c r="E37" i="5"/>
  <c r="D37" i="5"/>
  <c r="H36" i="5"/>
  <c r="E36" i="5"/>
  <c r="D36" i="5"/>
  <c r="H35" i="5"/>
  <c r="E35" i="5"/>
  <c r="D35" i="5"/>
  <c r="H34" i="5"/>
  <c r="E34" i="5"/>
  <c r="D34" i="5"/>
  <c r="H33" i="5"/>
  <c r="E33" i="5"/>
  <c r="D33" i="5"/>
  <c r="H32" i="5"/>
  <c r="E32" i="5"/>
  <c r="D32" i="5"/>
  <c r="H26" i="5"/>
  <c r="E26" i="5"/>
  <c r="D26" i="5"/>
  <c r="H25" i="5"/>
  <c r="E25" i="5"/>
  <c r="D25" i="5"/>
  <c r="H24" i="5"/>
  <c r="E24" i="5"/>
  <c r="D24" i="5"/>
  <c r="H23" i="5"/>
  <c r="E23" i="5"/>
  <c r="D23" i="5"/>
  <c r="H22" i="5"/>
  <c r="E22" i="5"/>
  <c r="D22" i="5"/>
  <c r="H21" i="5"/>
  <c r="E21" i="5"/>
  <c r="D21" i="5"/>
  <c r="H20" i="5"/>
  <c r="E20" i="5"/>
  <c r="D20" i="5"/>
  <c r="H19" i="5"/>
  <c r="E19" i="5"/>
  <c r="D19" i="5"/>
  <c r="H18" i="5"/>
  <c r="E18" i="5"/>
  <c r="D18" i="5"/>
  <c r="H17" i="5"/>
  <c r="E17" i="5"/>
  <c r="D17" i="5"/>
  <c r="H16" i="5"/>
  <c r="E16" i="5"/>
  <c r="D16" i="5"/>
  <c r="H15" i="5"/>
  <c r="E15" i="5"/>
  <c r="D15" i="5"/>
  <c r="H14" i="5"/>
  <c r="E14" i="5"/>
  <c r="D14" i="5"/>
  <c r="H13" i="5"/>
  <c r="E13" i="5"/>
  <c r="D13" i="5"/>
  <c r="F13" i="5" l="1"/>
  <c r="G13" i="5" s="1"/>
  <c r="I13" i="5" s="1"/>
  <c r="F17" i="5"/>
  <c r="G17" i="5" s="1"/>
  <c r="F21" i="5"/>
  <c r="G21" i="5" s="1"/>
  <c r="F25" i="5"/>
  <c r="G25" i="5" s="1"/>
  <c r="I25" i="5" s="1"/>
  <c r="H46" i="5"/>
  <c r="F34" i="5"/>
  <c r="F35" i="5"/>
  <c r="F38" i="5"/>
  <c r="F39" i="5"/>
  <c r="F42" i="5"/>
  <c r="F43" i="5"/>
  <c r="F15" i="5"/>
  <c r="G15" i="5" s="1"/>
  <c r="I15" i="5" s="1"/>
  <c r="F19" i="5"/>
  <c r="G19" i="5" s="1"/>
  <c r="I19" i="5" s="1"/>
  <c r="F23" i="5"/>
  <c r="G23" i="5" s="1"/>
  <c r="F36" i="5"/>
  <c r="F40" i="5"/>
  <c r="F44" i="5"/>
  <c r="F20" i="5"/>
  <c r="G20" i="5" s="1"/>
  <c r="I20" i="5" s="1"/>
  <c r="F24" i="5"/>
  <c r="G24" i="5" s="1"/>
  <c r="I24" i="5" s="1"/>
  <c r="F33" i="5"/>
  <c r="F37" i="5"/>
  <c r="F41" i="5"/>
  <c r="F45" i="5"/>
  <c r="F16" i="5"/>
  <c r="G16" i="5" s="1"/>
  <c r="I16" i="5" s="1"/>
  <c r="F32" i="5"/>
  <c r="F14" i="5"/>
  <c r="G14" i="5" s="1"/>
  <c r="I14" i="5" s="1"/>
  <c r="F18" i="5"/>
  <c r="G18" i="5" s="1"/>
  <c r="I18" i="5" s="1"/>
  <c r="F22" i="5"/>
  <c r="G22" i="5" s="1"/>
  <c r="I22" i="5" s="1"/>
  <c r="I23" i="5"/>
  <c r="F26" i="5"/>
  <c r="G26" i="5" s="1"/>
  <c r="I26" i="5" s="1"/>
  <c r="I17" i="5"/>
  <c r="I21" i="5"/>
  <c r="H27" i="5"/>
  <c r="F43" i="4"/>
  <c r="F44" i="4"/>
  <c r="G44" i="4" s="1"/>
  <c r="E81" i="4"/>
  <c r="F81" i="4" s="1"/>
  <c r="E80" i="4"/>
  <c r="F80" i="4" s="1"/>
  <c r="E79" i="4"/>
  <c r="F79" i="4" s="1"/>
  <c r="E78" i="4"/>
  <c r="F78" i="4" s="1"/>
  <c r="E77" i="4"/>
  <c r="F77" i="4" s="1"/>
  <c r="E76" i="4"/>
  <c r="F76" i="4" s="1"/>
  <c r="E75" i="4"/>
  <c r="F75" i="4" s="1"/>
  <c r="E74" i="4"/>
  <c r="F74" i="4" s="1"/>
  <c r="E73" i="4"/>
  <c r="F73" i="4" s="1"/>
  <c r="E72" i="4"/>
  <c r="F72" i="4" s="1"/>
  <c r="E71" i="4"/>
  <c r="F71" i="4" s="1"/>
  <c r="E70" i="4"/>
  <c r="F70" i="4" s="1"/>
  <c r="E69" i="4"/>
  <c r="F69" i="4" s="1"/>
  <c r="E68" i="4"/>
  <c r="F68" i="4" s="1"/>
  <c r="F82" i="4" s="1"/>
  <c r="H45" i="4"/>
  <c r="E45" i="4"/>
  <c r="D45" i="4"/>
  <c r="F45" i="4" s="1"/>
  <c r="H44" i="4"/>
  <c r="E44" i="4"/>
  <c r="D44" i="4"/>
  <c r="H43" i="4"/>
  <c r="E43" i="4"/>
  <c r="D43" i="4"/>
  <c r="H42" i="4"/>
  <c r="E42" i="4"/>
  <c r="D42" i="4"/>
  <c r="F42" i="4" s="1"/>
  <c r="G42" i="4" s="1"/>
  <c r="H41" i="4"/>
  <c r="E41" i="4"/>
  <c r="D41" i="4"/>
  <c r="H40" i="4"/>
  <c r="E40" i="4"/>
  <c r="D40" i="4"/>
  <c r="F40" i="4" s="1"/>
  <c r="G40" i="4" s="1"/>
  <c r="I40" i="4" s="1"/>
  <c r="E58" i="4" s="1"/>
  <c r="H39" i="4"/>
  <c r="E39" i="4"/>
  <c r="D39" i="4"/>
  <c r="F39" i="4" s="1"/>
  <c r="H38" i="4"/>
  <c r="E38" i="4"/>
  <c r="D38" i="4"/>
  <c r="F38" i="4" s="1"/>
  <c r="G38" i="4" s="1"/>
  <c r="H37" i="4"/>
  <c r="E37" i="4"/>
  <c r="D37" i="4"/>
  <c r="F37" i="4" s="1"/>
  <c r="H36" i="4"/>
  <c r="E36" i="4"/>
  <c r="F36" i="4" s="1"/>
  <c r="G36" i="4" s="1"/>
  <c r="I36" i="4" s="1"/>
  <c r="E54" i="4" s="1"/>
  <c r="D36" i="4"/>
  <c r="H35" i="4"/>
  <c r="E35" i="4"/>
  <c r="D35" i="4"/>
  <c r="F35" i="4" s="1"/>
  <c r="H34" i="4"/>
  <c r="E34" i="4"/>
  <c r="D34" i="4"/>
  <c r="F34" i="4" s="1"/>
  <c r="G34" i="4" s="1"/>
  <c r="I34" i="4" s="1"/>
  <c r="E52" i="4" s="1"/>
  <c r="H33" i="4"/>
  <c r="E33" i="4"/>
  <c r="D33" i="4"/>
  <c r="F33" i="4" s="1"/>
  <c r="H32" i="4"/>
  <c r="E32" i="4"/>
  <c r="D32" i="4"/>
  <c r="F32" i="4" s="1"/>
  <c r="G32" i="4" s="1"/>
  <c r="H26" i="4"/>
  <c r="E26" i="4"/>
  <c r="D26" i="4"/>
  <c r="F26" i="4" s="1"/>
  <c r="G26" i="4" s="1"/>
  <c r="H25" i="4"/>
  <c r="I25" i="4" s="1"/>
  <c r="D62" i="4" s="1"/>
  <c r="E25" i="4"/>
  <c r="D25" i="4"/>
  <c r="F25" i="4" s="1"/>
  <c r="G25" i="4" s="1"/>
  <c r="H24" i="4"/>
  <c r="F24" i="4"/>
  <c r="G24" i="4" s="1"/>
  <c r="E24" i="4"/>
  <c r="D24" i="4"/>
  <c r="H23" i="4"/>
  <c r="E23" i="4"/>
  <c r="D23" i="4"/>
  <c r="H22" i="4"/>
  <c r="E22" i="4"/>
  <c r="F22" i="4" s="1"/>
  <c r="G22" i="4" s="1"/>
  <c r="D22" i="4"/>
  <c r="H21" i="4"/>
  <c r="E21" i="4"/>
  <c r="D21" i="4"/>
  <c r="F21" i="4" s="1"/>
  <c r="G21" i="4" s="1"/>
  <c r="H20" i="4"/>
  <c r="E20" i="4"/>
  <c r="F20" i="4" s="1"/>
  <c r="G20" i="4" s="1"/>
  <c r="D20" i="4"/>
  <c r="H19" i="4"/>
  <c r="E19" i="4"/>
  <c r="D19" i="4"/>
  <c r="H18" i="4"/>
  <c r="E18" i="4"/>
  <c r="F18" i="4" s="1"/>
  <c r="G18" i="4" s="1"/>
  <c r="D18" i="4"/>
  <c r="H17" i="4"/>
  <c r="E17" i="4"/>
  <c r="D17" i="4"/>
  <c r="F17" i="4" s="1"/>
  <c r="G17" i="4" s="1"/>
  <c r="H16" i="4"/>
  <c r="E16" i="4"/>
  <c r="D16" i="4"/>
  <c r="F16" i="4" s="1"/>
  <c r="G16" i="4" s="1"/>
  <c r="H15" i="4"/>
  <c r="E15" i="4"/>
  <c r="D15" i="4"/>
  <c r="H14" i="4"/>
  <c r="E14" i="4"/>
  <c r="D14" i="4"/>
  <c r="F14" i="4" s="1"/>
  <c r="G14" i="4" s="1"/>
  <c r="H13" i="4"/>
  <c r="H27" i="4" s="1"/>
  <c r="E13" i="4"/>
  <c r="D13" i="4"/>
  <c r="F13" i="4" s="1"/>
  <c r="G13" i="4" s="1"/>
  <c r="C9" i="4"/>
  <c r="B91" i="4" s="1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32" i="2"/>
  <c r="K21" i="1"/>
  <c r="G33" i="5" l="1"/>
  <c r="I33" i="5" s="1"/>
  <c r="D63" i="5"/>
  <c r="G38" i="5"/>
  <c r="I38" i="5" s="1"/>
  <c r="D68" i="5"/>
  <c r="G45" i="5"/>
  <c r="I45" i="5" s="1"/>
  <c r="D75" i="5"/>
  <c r="G36" i="5"/>
  <c r="I36" i="5" s="1"/>
  <c r="D66" i="5"/>
  <c r="G35" i="5"/>
  <c r="I35" i="5" s="1"/>
  <c r="D65" i="5"/>
  <c r="G41" i="5"/>
  <c r="I41" i="5" s="1"/>
  <c r="D71" i="5"/>
  <c r="G42" i="5"/>
  <c r="I42" i="5" s="1"/>
  <c r="D72" i="5"/>
  <c r="G34" i="5"/>
  <c r="I34" i="5" s="1"/>
  <c r="I46" i="5" s="1"/>
  <c r="D64" i="5"/>
  <c r="G40" i="5"/>
  <c r="I40" i="5" s="1"/>
  <c r="D70" i="5"/>
  <c r="G43" i="5"/>
  <c r="I43" i="5" s="1"/>
  <c r="D73" i="5"/>
  <c r="G32" i="5"/>
  <c r="I32" i="5" s="1"/>
  <c r="D62" i="5"/>
  <c r="G37" i="5"/>
  <c r="I37" i="5" s="1"/>
  <c r="D67" i="5"/>
  <c r="G44" i="5"/>
  <c r="I44" i="5" s="1"/>
  <c r="D74" i="5"/>
  <c r="G39" i="5"/>
  <c r="I39" i="5" s="1"/>
  <c r="D69" i="5"/>
  <c r="I17" i="4"/>
  <c r="D54" i="4" s="1"/>
  <c r="F54" i="4" s="1"/>
  <c r="D72" i="4" s="1"/>
  <c r="G72" i="4" s="1"/>
  <c r="I21" i="4"/>
  <c r="D58" i="4" s="1"/>
  <c r="F58" i="4" s="1"/>
  <c r="D76" i="4" s="1"/>
  <c r="G76" i="4" s="1"/>
  <c r="G43" i="4"/>
  <c r="I43" i="4" s="1"/>
  <c r="E61" i="4" s="1"/>
  <c r="F61" i="4" s="1"/>
  <c r="G35" i="4"/>
  <c r="I35" i="4" s="1"/>
  <c r="E53" i="4" s="1"/>
  <c r="F53" i="4" s="1"/>
  <c r="F19" i="4"/>
  <c r="G19" i="4" s="1"/>
  <c r="I19" i="4" s="1"/>
  <c r="D56" i="4" s="1"/>
  <c r="F41" i="4"/>
  <c r="G41" i="4" s="1"/>
  <c r="I41" i="4" s="1"/>
  <c r="E59" i="4" s="1"/>
  <c r="F59" i="4" s="1"/>
  <c r="I27" i="5"/>
  <c r="I32" i="4"/>
  <c r="I44" i="4"/>
  <c r="E62" i="4" s="1"/>
  <c r="F62" i="4" s="1"/>
  <c r="D80" i="4" s="1"/>
  <c r="G80" i="4" s="1"/>
  <c r="I42" i="4"/>
  <c r="E60" i="4" s="1"/>
  <c r="F60" i="4" s="1"/>
  <c r="I38" i="4"/>
  <c r="E56" i="4" s="1"/>
  <c r="I37" i="4"/>
  <c r="E55" i="4" s="1"/>
  <c r="F55" i="4" s="1"/>
  <c r="G37" i="4"/>
  <c r="G33" i="4"/>
  <c r="I33" i="4" s="1"/>
  <c r="E51" i="4" s="1"/>
  <c r="G45" i="4"/>
  <c r="I45" i="4" s="1"/>
  <c r="E63" i="4" s="1"/>
  <c r="E50" i="4"/>
  <c r="I18" i="4"/>
  <c r="D55" i="4" s="1"/>
  <c r="I26" i="4"/>
  <c r="D63" i="4" s="1"/>
  <c r="I13" i="4"/>
  <c r="I20" i="4"/>
  <c r="D57" i="4" s="1"/>
  <c r="I14" i="4"/>
  <c r="D51" i="4" s="1"/>
  <c r="I22" i="4"/>
  <c r="D59" i="4" s="1"/>
  <c r="F15" i="4"/>
  <c r="G15" i="4" s="1"/>
  <c r="I15" i="4" s="1"/>
  <c r="D52" i="4" s="1"/>
  <c r="I16" i="4"/>
  <c r="D53" i="4" s="1"/>
  <c r="F23" i="4"/>
  <c r="G23" i="4" s="1"/>
  <c r="I23" i="4" s="1"/>
  <c r="D60" i="4" s="1"/>
  <c r="I24" i="4"/>
  <c r="D61" i="4" s="1"/>
  <c r="H46" i="4"/>
  <c r="G39" i="4"/>
  <c r="I39" i="4" s="1"/>
  <c r="E57" i="4" s="1"/>
  <c r="F57" i="4" s="1"/>
  <c r="E82" i="4"/>
  <c r="B53" i="5" l="1"/>
  <c r="B57" i="5" s="1"/>
  <c r="B58" i="5" s="1"/>
  <c r="D70" i="4"/>
  <c r="G70" i="4" s="1"/>
  <c r="F52" i="4"/>
  <c r="D79" i="4"/>
  <c r="G79" i="4" s="1"/>
  <c r="F63" i="4"/>
  <c r="D81" i="4" s="1"/>
  <c r="G81" i="4" s="1"/>
  <c r="D78" i="4"/>
  <c r="G78" i="4" s="1"/>
  <c r="F51" i="4"/>
  <c r="D69" i="4" s="1"/>
  <c r="G69" i="4" s="1"/>
  <c r="D77" i="4"/>
  <c r="G77" i="4" s="1"/>
  <c r="D71" i="4"/>
  <c r="G71" i="4" s="1"/>
  <c r="F56" i="4"/>
  <c r="D74" i="4" s="1"/>
  <c r="G74" i="4" s="1"/>
  <c r="D73" i="4"/>
  <c r="G73" i="4" s="1"/>
  <c r="I27" i="4"/>
  <c r="D64" i="4" s="1"/>
  <c r="D50" i="4"/>
  <c r="F50" i="4" s="1"/>
  <c r="F64" i="4" s="1"/>
  <c r="I46" i="4"/>
  <c r="D75" i="4"/>
  <c r="G75" i="4" s="1"/>
  <c r="E64" i="5" l="1"/>
  <c r="F64" i="5" s="1"/>
  <c r="D82" i="5" s="1"/>
  <c r="E68" i="5"/>
  <c r="F68" i="5" s="1"/>
  <c r="D86" i="5" s="1"/>
  <c r="E72" i="5"/>
  <c r="F72" i="5" s="1"/>
  <c r="D90" i="5" s="1"/>
  <c r="E62" i="5"/>
  <c r="F62" i="5" s="1"/>
  <c r="D80" i="5" s="1"/>
  <c r="E65" i="5"/>
  <c r="F65" i="5" s="1"/>
  <c r="D83" i="5" s="1"/>
  <c r="E69" i="5"/>
  <c r="F69" i="5" s="1"/>
  <c r="D87" i="5" s="1"/>
  <c r="E73" i="5"/>
  <c r="F73" i="5" s="1"/>
  <c r="D91" i="5" s="1"/>
  <c r="E63" i="5"/>
  <c r="F63" i="5" s="1"/>
  <c r="D81" i="5" s="1"/>
  <c r="E71" i="5"/>
  <c r="F71" i="5" s="1"/>
  <c r="D89" i="5" s="1"/>
  <c r="E66" i="5"/>
  <c r="F66" i="5" s="1"/>
  <c r="D84" i="5" s="1"/>
  <c r="E74" i="5"/>
  <c r="F74" i="5" s="1"/>
  <c r="D92" i="5" s="1"/>
  <c r="E67" i="5"/>
  <c r="F67" i="5" s="1"/>
  <c r="D85" i="5" s="1"/>
  <c r="E75" i="5"/>
  <c r="F75" i="5" s="1"/>
  <c r="D93" i="5" s="1"/>
  <c r="E70" i="5"/>
  <c r="F70" i="5" s="1"/>
  <c r="D88" i="5" s="1"/>
  <c r="D68" i="4"/>
  <c r="G68" i="4" s="1"/>
  <c r="E64" i="4"/>
  <c r="D82" i="4" s="1"/>
  <c r="C86" i="4" s="1"/>
  <c r="C85" i="4"/>
  <c r="G81" i="5" l="1"/>
  <c r="E102" i="5" s="1"/>
  <c r="D102" i="5"/>
  <c r="F102" i="5" s="1"/>
  <c r="D121" i="5" s="1"/>
  <c r="G121" i="5" s="1"/>
  <c r="G92" i="5"/>
  <c r="E113" i="5" s="1"/>
  <c r="D113" i="5"/>
  <c r="F113" i="5" s="1"/>
  <c r="D132" i="5" s="1"/>
  <c r="G132" i="5" s="1"/>
  <c r="G86" i="5"/>
  <c r="E107" i="5" s="1"/>
  <c r="D107" i="5"/>
  <c r="F107" i="5" s="1"/>
  <c r="D126" i="5" s="1"/>
  <c r="G126" i="5" s="1"/>
  <c r="G85" i="5"/>
  <c r="E106" i="5" s="1"/>
  <c r="D106" i="5"/>
  <c r="F106" i="5" s="1"/>
  <c r="D125" i="5" s="1"/>
  <c r="G125" i="5" s="1"/>
  <c r="D101" i="5"/>
  <c r="G80" i="5"/>
  <c r="D112" i="5"/>
  <c r="G91" i="5"/>
  <c r="E112" i="5" s="1"/>
  <c r="D111" i="5"/>
  <c r="G90" i="5"/>
  <c r="E111" i="5" s="1"/>
  <c r="G88" i="5"/>
  <c r="E109" i="5" s="1"/>
  <c r="D109" i="5"/>
  <c r="F109" i="5" s="1"/>
  <c r="D128" i="5" s="1"/>
  <c r="G128" i="5" s="1"/>
  <c r="G84" i="5"/>
  <c r="E105" i="5" s="1"/>
  <c r="D105" i="5"/>
  <c r="F105" i="5" s="1"/>
  <c r="D124" i="5" s="1"/>
  <c r="G124" i="5" s="1"/>
  <c r="D108" i="5"/>
  <c r="G87" i="5"/>
  <c r="E108" i="5" s="1"/>
  <c r="G93" i="5"/>
  <c r="E114" i="5" s="1"/>
  <c r="D114" i="5"/>
  <c r="F114" i="5" s="1"/>
  <c r="D133" i="5" s="1"/>
  <c r="G133" i="5" s="1"/>
  <c r="G89" i="5"/>
  <c r="E110" i="5" s="1"/>
  <c r="D110" i="5"/>
  <c r="F110" i="5" s="1"/>
  <c r="D129" i="5" s="1"/>
  <c r="G129" i="5" s="1"/>
  <c r="D104" i="5"/>
  <c r="G83" i="5"/>
  <c r="E104" i="5" s="1"/>
  <c r="G82" i="5"/>
  <c r="E103" i="5" s="1"/>
  <c r="D103" i="5"/>
  <c r="F103" i="5" s="1"/>
  <c r="D122" i="5" s="1"/>
  <c r="G122" i="5" s="1"/>
  <c r="C88" i="4"/>
  <c r="B92" i="4" s="1"/>
  <c r="B93" i="4" s="1"/>
  <c r="C97" i="5" l="1"/>
  <c r="E101" i="5"/>
  <c r="F108" i="5"/>
  <c r="D127" i="5" s="1"/>
  <c r="G127" i="5" s="1"/>
  <c r="F112" i="5"/>
  <c r="D131" i="5" s="1"/>
  <c r="G131" i="5" s="1"/>
  <c r="F104" i="5"/>
  <c r="D123" i="5" s="1"/>
  <c r="G123" i="5" s="1"/>
  <c r="F111" i="5"/>
  <c r="D130" i="5" s="1"/>
  <c r="G130" i="5" s="1"/>
  <c r="D115" i="5"/>
  <c r="D116" i="5" s="1"/>
  <c r="F101" i="5"/>
  <c r="D120" i="5" s="1"/>
  <c r="G120" i="5" s="1"/>
  <c r="B91" i="2"/>
  <c r="F71" i="2"/>
  <c r="F72" i="2"/>
  <c r="F78" i="2"/>
  <c r="F68" i="2"/>
  <c r="E69" i="2"/>
  <c r="F69" i="2" s="1"/>
  <c r="E70" i="2"/>
  <c r="F70" i="2" s="1"/>
  <c r="E71" i="2"/>
  <c r="E72" i="2"/>
  <c r="E73" i="2"/>
  <c r="F73" i="2" s="1"/>
  <c r="E74" i="2"/>
  <c r="F74" i="2" s="1"/>
  <c r="E75" i="2"/>
  <c r="F75" i="2" s="1"/>
  <c r="E76" i="2"/>
  <c r="F76" i="2" s="1"/>
  <c r="E77" i="2"/>
  <c r="F77" i="2" s="1"/>
  <c r="E78" i="2"/>
  <c r="E79" i="2"/>
  <c r="F79" i="2" s="1"/>
  <c r="E80" i="2"/>
  <c r="F80" i="2" s="1"/>
  <c r="E81" i="2"/>
  <c r="F81" i="2" s="1"/>
  <c r="E68" i="2"/>
  <c r="D32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F34" i="2" s="1"/>
  <c r="G34" i="2" s="1"/>
  <c r="I34" i="2" s="1"/>
  <c r="E52" i="2" s="1"/>
  <c r="E33" i="2"/>
  <c r="D33" i="2"/>
  <c r="E32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13" i="2"/>
  <c r="C9" i="2"/>
  <c r="G21" i="1"/>
  <c r="F21" i="1"/>
  <c r="E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F38" i="2" l="1"/>
  <c r="G38" i="2" s="1"/>
  <c r="I38" i="2" s="1"/>
  <c r="E56" i="2" s="1"/>
  <c r="F42" i="2"/>
  <c r="G42" i="2" s="1"/>
  <c r="I42" i="2" s="1"/>
  <c r="E60" i="2" s="1"/>
  <c r="F82" i="2"/>
  <c r="E82" i="2"/>
  <c r="F35" i="2"/>
  <c r="F39" i="2"/>
  <c r="F43" i="2"/>
  <c r="H27" i="2"/>
  <c r="F32" i="2"/>
  <c r="F33" i="2"/>
  <c r="F36" i="2"/>
  <c r="F37" i="2"/>
  <c r="F40" i="2"/>
  <c r="F41" i="2"/>
  <c r="F44" i="2"/>
  <c r="F45" i="2"/>
  <c r="H46" i="2"/>
  <c r="F26" i="2"/>
  <c r="G26" i="2" s="1"/>
  <c r="I26" i="2" s="1"/>
  <c r="D63" i="2" s="1"/>
  <c r="F22" i="2"/>
  <c r="G22" i="2" s="1"/>
  <c r="I22" i="2" s="1"/>
  <c r="D59" i="2" s="1"/>
  <c r="F18" i="2"/>
  <c r="G18" i="2" s="1"/>
  <c r="I18" i="2" s="1"/>
  <c r="D55" i="2" s="1"/>
  <c r="F14" i="2"/>
  <c r="G14" i="2" s="1"/>
  <c r="I14" i="2" s="1"/>
  <c r="D51" i="2" s="1"/>
  <c r="F13" i="2"/>
  <c r="G13" i="2" s="1"/>
  <c r="I13" i="2" s="1"/>
  <c r="D50" i="2" s="1"/>
  <c r="F23" i="2"/>
  <c r="G23" i="2" s="1"/>
  <c r="I23" i="2" s="1"/>
  <c r="D60" i="2" s="1"/>
  <c r="F60" i="2" s="1"/>
  <c r="D78" i="2" s="1"/>
  <c r="G78" i="2" s="1"/>
  <c r="F19" i="2"/>
  <c r="G19" i="2" s="1"/>
  <c r="I19" i="2" s="1"/>
  <c r="D56" i="2" s="1"/>
  <c r="F56" i="2" s="1"/>
  <c r="D74" i="2" s="1"/>
  <c r="G74" i="2" s="1"/>
  <c r="F15" i="2"/>
  <c r="G15" i="2" s="1"/>
  <c r="I15" i="2" s="1"/>
  <c r="D52" i="2" s="1"/>
  <c r="F52" i="2" s="1"/>
  <c r="D70" i="2" s="1"/>
  <c r="G70" i="2" s="1"/>
  <c r="F25" i="2"/>
  <c r="G25" i="2" s="1"/>
  <c r="I25" i="2" s="1"/>
  <c r="D62" i="2" s="1"/>
  <c r="F21" i="2"/>
  <c r="G21" i="2" s="1"/>
  <c r="I21" i="2" s="1"/>
  <c r="D58" i="2" s="1"/>
  <c r="F17" i="2"/>
  <c r="G17" i="2" s="1"/>
  <c r="I17" i="2" s="1"/>
  <c r="D54" i="2" s="1"/>
  <c r="F24" i="2"/>
  <c r="G24" i="2" s="1"/>
  <c r="I24" i="2" s="1"/>
  <c r="D61" i="2" s="1"/>
  <c r="F20" i="2"/>
  <c r="G20" i="2" s="1"/>
  <c r="I20" i="2" s="1"/>
  <c r="D57" i="2" s="1"/>
  <c r="F16" i="2"/>
  <c r="G16" i="2" s="1"/>
  <c r="I16" i="2" s="1"/>
  <c r="D53" i="2" s="1"/>
  <c r="D21" i="1"/>
  <c r="I40" i="2" l="1"/>
  <c r="E58" i="2" s="1"/>
  <c r="G40" i="2"/>
  <c r="G32" i="2"/>
  <c r="I32" i="2" s="1"/>
  <c r="I35" i="2"/>
  <c r="E53" i="2" s="1"/>
  <c r="G35" i="2"/>
  <c r="G45" i="2"/>
  <c r="I45" i="2" s="1"/>
  <c r="E63" i="2" s="1"/>
  <c r="F63" i="2" s="1"/>
  <c r="D81" i="2" s="1"/>
  <c r="G81" i="2" s="1"/>
  <c r="I37" i="2"/>
  <c r="E55" i="2" s="1"/>
  <c r="G37" i="2"/>
  <c r="G44" i="2"/>
  <c r="I44" i="2" s="1"/>
  <c r="E62" i="2" s="1"/>
  <c r="F62" i="2" s="1"/>
  <c r="D80" i="2" s="1"/>
  <c r="G80" i="2" s="1"/>
  <c r="I36" i="2"/>
  <c r="E54" i="2" s="1"/>
  <c r="G36" i="2"/>
  <c r="G43" i="2"/>
  <c r="I43" i="2" s="1"/>
  <c r="E61" i="2" s="1"/>
  <c r="F61" i="2" s="1"/>
  <c r="D79" i="2" s="1"/>
  <c r="G79" i="2" s="1"/>
  <c r="G41" i="2"/>
  <c r="I41" i="2" s="1"/>
  <c r="E59" i="2" s="1"/>
  <c r="F59" i="2" s="1"/>
  <c r="D77" i="2" s="1"/>
  <c r="G77" i="2" s="1"/>
  <c r="I33" i="2"/>
  <c r="E51" i="2" s="1"/>
  <c r="F51" i="2" s="1"/>
  <c r="D69" i="2" s="1"/>
  <c r="G69" i="2" s="1"/>
  <c r="G33" i="2"/>
  <c r="G39" i="2"/>
  <c r="I39" i="2" s="1"/>
  <c r="E57" i="2" s="1"/>
  <c r="F57" i="2" s="1"/>
  <c r="D75" i="2" s="1"/>
  <c r="G75" i="2" s="1"/>
  <c r="F55" i="2"/>
  <c r="D73" i="2" s="1"/>
  <c r="G73" i="2" s="1"/>
  <c r="F54" i="2"/>
  <c r="D72" i="2" s="1"/>
  <c r="G72" i="2" s="1"/>
  <c r="F53" i="2"/>
  <c r="D71" i="2" s="1"/>
  <c r="G71" i="2" s="1"/>
  <c r="F58" i="2"/>
  <c r="D76" i="2" s="1"/>
  <c r="G76" i="2" s="1"/>
  <c r="I27" i="2"/>
  <c r="D64" i="2" s="1"/>
  <c r="I46" i="2" l="1"/>
  <c r="C85" i="2" s="1"/>
  <c r="E50" i="2"/>
  <c r="F50" i="2" s="1"/>
  <c r="D68" i="2" s="1"/>
  <c r="G68" i="2" s="1"/>
  <c r="E64" i="2" l="1"/>
  <c r="F64" i="2" s="1"/>
  <c r="D82" i="2" s="1"/>
  <c r="C86" i="2" s="1"/>
  <c r="C88" i="2" s="1"/>
  <c r="B92" i="2" s="1"/>
  <c r="B93" i="2" s="1"/>
</calcChain>
</file>

<file path=xl/sharedStrings.xml><?xml version="1.0" encoding="utf-8"?>
<sst xmlns="http://schemas.openxmlformats.org/spreadsheetml/2006/main" count="393" uniqueCount="93">
  <si>
    <t>Derivation of Zonal Gross HH and Embedded Export Tariff</t>
  </si>
  <si>
    <t>Total Demand</t>
  </si>
  <si>
    <t>Chargeable</t>
  </si>
  <si>
    <t>Net Triad</t>
  </si>
  <si>
    <t>Gross Triad</t>
  </si>
  <si>
    <t>Export</t>
  </si>
  <si>
    <t>Demand</t>
  </si>
  <si>
    <t>Volume</t>
  </si>
  <si>
    <t>Zone</t>
  </si>
  <si>
    <t>Zone Name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</si>
  <si>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</si>
  <si>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</si>
  <si>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</si>
  <si>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</si>
  <si>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</si>
  <si>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</si>
  <si>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</si>
  <si>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</si>
  <si>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</si>
  <si>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</si>
  <si>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</si>
  <si>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</si>
  <si>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</si>
  <si>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</si>
  <si>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Zonal</t>
  </si>
  <si>
    <t>1600-1900</t>
  </si>
  <si>
    <t>TO MAR (£)</t>
  </si>
  <si>
    <t>Embedded Export (£)</t>
  </si>
  <si>
    <t>Generation TNUoS Value (£)</t>
  </si>
  <si>
    <t>total to be recovered from demand TNUoS</t>
  </si>
  <si>
    <t>Peak (£/kW)</t>
  </si>
  <si>
    <t>Year Round (£/kW)</t>
  </si>
  <si>
    <t>From the T&amp;T model</t>
  </si>
  <si>
    <t>Zonal HH Tariffs (B) (£/kW)</t>
  </si>
  <si>
    <t>Chargeable Export Volume (GW)</t>
  </si>
  <si>
    <t>NHH Zonal 4 - 7pm demand (TWh)</t>
  </si>
  <si>
    <t>Gross Triad Demand (GW) [NHH + HH]*</t>
  </si>
  <si>
    <r>
      <t>*this figure is</t>
    </r>
    <r>
      <rPr>
        <u/>
        <sz val="11"/>
        <color theme="1"/>
        <rFont val="Calibri"/>
        <family val="2"/>
        <scheme val="minor"/>
      </rPr>
      <t xml:space="preserve"> not</t>
    </r>
    <r>
      <rPr>
        <sz val="11"/>
        <color theme="1"/>
        <rFont val="Calibri"/>
        <family val="2"/>
        <scheme val="minor"/>
      </rPr>
      <t xml:space="preserve"> net of embedded exports</t>
    </r>
  </si>
  <si>
    <t>Zonal HH Tariffs (£/GW)</t>
  </si>
  <si>
    <t>Expected Zonal Revenue (£) [Line B]</t>
  </si>
  <si>
    <t>Total</t>
  </si>
  <si>
    <t>Net Triad Demand (GW)</t>
  </si>
  <si>
    <t>Recovered HH Zonal Revenue (£) [Line C]</t>
  </si>
  <si>
    <t>NHH Zonal Recovery Value (£) [Line D]</t>
  </si>
  <si>
    <t>NHH Zonal 4 - 7pm demand (MWh)</t>
  </si>
  <si>
    <t>NHH Locational Tariff (£/MWh) [Line E]</t>
  </si>
  <si>
    <t>Total Revenue recovered from HH demand (£)</t>
  </si>
  <si>
    <t>Total Revenue recovered from NHH demand (£)</t>
  </si>
  <si>
    <t>This is equivalent to the expected zonal recovery</t>
  </si>
  <si>
    <t>Revenue recovered/paid out through the locational (£)</t>
  </si>
  <si>
    <t>Total Value of the TDR (£)</t>
  </si>
  <si>
    <t>-</t>
  </si>
  <si>
    <t>Smear this value across the 18 charging bands by volume from each band.</t>
  </si>
  <si>
    <t>If the workgroup feel that this information would add value then we can make some assessments</t>
  </si>
  <si>
    <t>From the draft 2020/21 charging statement</t>
  </si>
  <si>
    <t>This data is from the 2019/20 charging year</t>
  </si>
  <si>
    <t>HH Gross Zonal</t>
  </si>
  <si>
    <t>Step (A)</t>
  </si>
  <si>
    <t>Step (B)</t>
  </si>
  <si>
    <t>Step C</t>
  </si>
  <si>
    <t>Step D</t>
  </si>
  <si>
    <t>Step E</t>
  </si>
  <si>
    <t>Step F</t>
  </si>
  <si>
    <t>Step G</t>
  </si>
  <si>
    <t>chargeable HH zonal demand (GW)</t>
  </si>
  <si>
    <t>This is not equivalent to the expected zonal recovery (as tariffs in this scenario have been floored at £0)</t>
  </si>
  <si>
    <t>total to be recovered from demand TNUoS (not including EET)</t>
  </si>
  <si>
    <t>Step1</t>
  </si>
  <si>
    <t>Step 2</t>
  </si>
  <si>
    <t>Step 3</t>
  </si>
  <si>
    <t>Step 4</t>
  </si>
  <si>
    <t>Total to recover</t>
  </si>
  <si>
    <t>Total to be considered in HH residual calculation</t>
  </si>
  <si>
    <t>TDR (£/GW)</t>
  </si>
  <si>
    <t>TDR (£/kW)</t>
  </si>
  <si>
    <t>Step 5</t>
  </si>
  <si>
    <t>Locational Tariff HH (£/kW)</t>
  </si>
  <si>
    <t>Residual (£/kW)</t>
  </si>
  <si>
    <t>Final Tariffs (£/kW)</t>
  </si>
  <si>
    <t>Total Recovered from HH (£)</t>
  </si>
  <si>
    <t>Zonal demand (kW)</t>
  </si>
  <si>
    <t>Step 6</t>
  </si>
  <si>
    <t>Total recovered from HH</t>
  </si>
  <si>
    <t>Step 7</t>
  </si>
  <si>
    <t>recovered from HH (including HH residual) (£)</t>
  </si>
  <si>
    <t>Remaining to be recovered from NHH per zone (£)</t>
  </si>
  <si>
    <t>What we need to recover from demand per zone(£)</t>
  </si>
  <si>
    <t>Step 8</t>
  </si>
  <si>
    <t>NHH zonal tariff (p/kWh)</t>
  </si>
  <si>
    <t>NHH Zonal 4 - 7pm demand (kWh)</t>
  </si>
  <si>
    <t>in the T&amp;T model we bring this in directly into step 4 which makes no real difference</t>
  </si>
  <si>
    <r>
      <t xml:space="preserve">Total paid out from locational (HH </t>
    </r>
    <r>
      <rPr>
        <u/>
        <sz val="11"/>
        <color theme="1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NHH)*</t>
    </r>
  </si>
  <si>
    <t>*if this was a positive figure we would subtract it from the amount needed, in this example it is paid out so acts as extra to recover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</si>
</sst>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0_)"/>
    <numFmt numFmtId="165" formatCode="#,##0.000"/>
    <numFmt numFmtId="166" formatCode="0.000"/>
    <numFmt numFmtId="167" formatCode="_-&quot;£&quot;* #,##0_-;\-&quot;£&quot;* #,##0_-;_-&quot;£&quot;* &quot;-&quot;??_-;_-@_-"/>
    <numFmt numFmtId="168" formatCode="_(* #,##0.00_);_(* \(#,##0.00\);_(* &quot;-&quot;??_);_(@_)"/>
    <numFmt numFmtId="169" formatCode="0.00_)"/>
    <numFmt numFmtId="178" formatCode="_-&quot;£&quot;* #,##0.0000_-;\-&quot;£&quot;* #,##0.0000_-;_-&quot;£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theme="1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Arial"/>
      <family val="2"/>
    </font>
    <font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A2C9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168" fontId="1" fillId="0" borderId="0" applyFont="0" applyFill="0" applyBorder="0" applyAlignment="0" applyProtection="0"/>
  </cellStyleXfs>
  <cellXfs count="101">
    <xf numFmtId="0" fontId="0" fillId="0" borderId="0" xfId="0"/>
    <xf numFmtId="164" fontId="5" fillId="3" borderId="2" xfId="4" applyNumberFormat="1" applyFont="1" applyFill="1" applyBorder="1" applyAlignment="1" applyProtection="1">
      <alignment horizontal="center"/>
      <protection hidden="1"/>
    </xf>
    <xf numFmtId="0" fontId="5" fillId="3" borderId="1" xfId="4" applyFont="1" applyFill="1" applyBorder="1" applyAlignment="1" applyProtection="1">
      <alignment horizontal="center"/>
      <protection hidden="1"/>
    </xf>
    <xf numFmtId="0" fontId="5" fillId="3" borderId="2" xfId="4" applyFont="1" applyFill="1" applyBorder="1" applyAlignment="1" applyProtection="1">
      <alignment horizontal="center"/>
      <protection hidden="1"/>
    </xf>
    <xf numFmtId="164" fontId="5" fillId="3" borderId="3" xfId="4" applyNumberFormat="1" applyFont="1" applyFill="1" applyBorder="1" applyAlignment="1" applyProtection="1">
      <alignment horizontal="center"/>
      <protection hidden="1"/>
    </xf>
    <xf numFmtId="0" fontId="5" fillId="3" borderId="0" xfId="4" applyFont="1" applyFill="1" applyAlignment="1" applyProtection="1">
      <alignment horizontal="center"/>
      <protection hidden="1"/>
    </xf>
    <xf numFmtId="0" fontId="5" fillId="3" borderId="3" xfId="4" applyFont="1" applyFill="1" applyBorder="1" applyAlignment="1" applyProtection="1">
      <alignment horizontal="center"/>
      <protection hidden="1"/>
    </xf>
    <xf numFmtId="164" fontId="5" fillId="3" borderId="4" xfId="4" applyNumberFormat="1" applyFont="1" applyFill="1" applyBorder="1" applyAlignment="1" applyProtection="1">
      <alignment horizontal="center"/>
      <protection hidden="1"/>
    </xf>
    <xf numFmtId="0" fontId="5" fillId="3" borderId="5" xfId="4" applyFont="1" applyFill="1" applyBorder="1" applyAlignment="1" applyProtection="1">
      <alignment horizontal="center"/>
      <protection hidden="1"/>
    </xf>
    <xf numFmtId="164" fontId="6" fillId="0" borderId="6" xfId="4" applyNumberFormat="1" applyFont="1" applyBorder="1" applyAlignment="1" applyProtection="1">
      <alignment horizontal="center"/>
      <protection locked="0"/>
    </xf>
    <xf numFmtId="0" fontId="6" fillId="0" borderId="7" xfId="4" applyFont="1" applyBorder="1" applyProtection="1">
      <protection locked="0"/>
    </xf>
    <xf numFmtId="165" fontId="7" fillId="0" borderId="8" xfId="4" applyNumberFormat="1" applyFont="1" applyBorder="1" applyProtection="1">
      <protection hidden="1"/>
    </xf>
    <xf numFmtId="165" fontId="8" fillId="0" borderId="9" xfId="4" applyNumberFormat="1" applyFont="1" applyBorder="1" applyProtection="1">
      <protection hidden="1"/>
    </xf>
    <xf numFmtId="164" fontId="6" fillId="0" borderId="10" xfId="4" applyNumberFormat="1" applyFont="1" applyBorder="1" applyAlignment="1" applyProtection="1">
      <alignment horizontal="center"/>
      <protection locked="0"/>
    </xf>
    <xf numFmtId="0" fontId="6" fillId="0" borderId="11" xfId="4" applyFont="1" applyBorder="1" applyProtection="1">
      <protection locked="0"/>
    </xf>
    <xf numFmtId="165" fontId="7" fillId="0" borderId="12" xfId="4" applyNumberFormat="1" applyFont="1" applyBorder="1" applyProtection="1">
      <protection hidden="1"/>
    </xf>
    <xf numFmtId="165" fontId="8" fillId="0" borderId="13" xfId="4" applyNumberFormat="1" applyFont="1" applyBorder="1" applyProtection="1">
      <protection hidden="1"/>
    </xf>
    <xf numFmtId="164" fontId="6" fillId="0" borderId="14" xfId="4" applyNumberFormat="1" applyFont="1" applyBorder="1" applyAlignment="1" applyProtection="1">
      <alignment horizontal="center"/>
      <protection locked="0"/>
    </xf>
    <xf numFmtId="0" fontId="6" fillId="0" borderId="15" xfId="4" applyFont="1" applyBorder="1" applyProtection="1">
      <protection locked="0"/>
    </xf>
    <xf numFmtId="165" fontId="7" fillId="0" borderId="16" xfId="4" applyNumberFormat="1" applyFont="1" applyBorder="1" applyProtection="1">
      <protection hidden="1"/>
    </xf>
    <xf numFmtId="165" fontId="8" fillId="0" borderId="17" xfId="4" applyNumberFormat="1" applyFont="1" applyBorder="1" applyProtection="1">
      <protection hidden="1"/>
    </xf>
    <xf numFmtId="164" fontId="9" fillId="0" borderId="18" xfId="4" applyNumberFormat="1" applyFont="1" applyBorder="1" applyAlignment="1" applyProtection="1">
      <alignment horizontal="center"/>
      <protection hidden="1"/>
    </xf>
    <xf numFmtId="0" fontId="9" fillId="0" borderId="19" xfId="4" applyFont="1" applyBorder="1" applyProtection="1">
      <protection locked="0"/>
    </xf>
    <xf numFmtId="165" fontId="5" fillId="0" borderId="4" xfId="4" applyNumberFormat="1" applyFont="1" applyBorder="1" applyProtection="1">
      <protection locked="0"/>
    </xf>
    <xf numFmtId="165" fontId="5" fillId="0" borderId="20" xfId="4" applyNumberFormat="1" applyFont="1" applyBorder="1" applyProtection="1">
      <protection hidden="1"/>
    </xf>
    <xf numFmtId="0" fontId="5" fillId="3" borderId="1" xfId="4" applyFont="1" applyFill="1" applyBorder="1" applyProtection="1">
      <protection hidden="1"/>
    </xf>
    <xf numFmtId="4" fontId="5" fillId="0" borderId="18" xfId="4" applyNumberFormat="1" applyFont="1" applyBorder="1" applyAlignment="1" applyProtection="1">
      <alignment horizontal="right"/>
      <protection hidden="1"/>
    </xf>
    <xf numFmtId="44" fontId="0" fillId="0" borderId="0" xfId="2" applyFont="1"/>
    <xf numFmtId="44" fontId="0" fillId="0" borderId="0" xfId="0" applyNumberFormat="1"/>
    <xf numFmtId="0" fontId="10" fillId="0" borderId="0" xfId="0" applyFont="1"/>
    <xf numFmtId="167" fontId="2" fillId="0" borderId="0" xfId="0" applyNumberFormat="1" applyFont="1"/>
    <xf numFmtId="0" fontId="0" fillId="0" borderId="22" xfId="0" applyBorder="1" applyAlignment="1">
      <alignment horizontal="center"/>
    </xf>
    <xf numFmtId="0" fontId="0" fillId="0" borderId="22" xfId="0" applyBorder="1"/>
    <xf numFmtId="166" fontId="8" fillId="0" borderId="23" xfId="4" applyNumberFormat="1" applyFont="1" applyBorder="1" applyProtection="1">
      <protection hidden="1"/>
    </xf>
    <xf numFmtId="166" fontId="8" fillId="0" borderId="24" xfId="4" applyNumberFormat="1" applyFont="1" applyBorder="1" applyProtection="1">
      <protection hidden="1"/>
    </xf>
    <xf numFmtId="166" fontId="8" fillId="0" borderId="25" xfId="4" applyNumberFormat="1" applyFont="1" applyBorder="1" applyProtection="1">
      <protection hidden="1"/>
    </xf>
    <xf numFmtId="0" fontId="11" fillId="6" borderId="22" xfId="5" applyFont="1" applyFill="1" applyBorder="1" applyAlignment="1">
      <alignment horizontal="center" vertical="center"/>
    </xf>
    <xf numFmtId="0" fontId="11" fillId="6" borderId="22" xfId="5" applyFont="1" applyFill="1" applyBorder="1" applyAlignment="1">
      <alignment horizontal="center" vertical="center" wrapText="1"/>
    </xf>
    <xf numFmtId="164" fontId="9" fillId="0" borderId="22" xfId="4" applyNumberFormat="1" applyFont="1" applyFill="1" applyBorder="1" applyAlignment="1" applyProtection="1">
      <alignment horizontal="center"/>
      <protection locked="0"/>
    </xf>
    <xf numFmtId="2" fontId="2" fillId="0" borderId="0" xfId="0" applyNumberFormat="1" applyFont="1"/>
    <xf numFmtId="0" fontId="0" fillId="0" borderId="0" xfId="0" applyAlignment="1">
      <alignment wrapText="1"/>
    </xf>
    <xf numFmtId="44" fontId="0" fillId="8" borderId="0" xfId="2" applyFont="1" applyFill="1"/>
    <xf numFmtId="0" fontId="0" fillId="0" borderId="26" xfId="0" applyBorder="1" applyAlignment="1">
      <alignment horizontal="center"/>
    </xf>
    <xf numFmtId="0" fontId="0" fillId="0" borderId="26" xfId="0" applyBorder="1"/>
    <xf numFmtId="0" fontId="0" fillId="0" borderId="22" xfId="0" applyFill="1" applyBorder="1"/>
    <xf numFmtId="0" fontId="2" fillId="0" borderId="22" xfId="0" applyFont="1" applyBorder="1"/>
    <xf numFmtId="44" fontId="2" fillId="0" borderId="22" xfId="0" applyNumberFormat="1" applyFont="1" applyBorder="1"/>
    <xf numFmtId="0" fontId="0" fillId="0" borderId="22" xfId="0" applyBorder="1" applyAlignment="1">
      <alignment wrapText="1"/>
    </xf>
    <xf numFmtId="44" fontId="0" fillId="8" borderId="22" xfId="2" applyFont="1" applyFill="1" applyBorder="1"/>
    <xf numFmtId="44" fontId="0" fillId="0" borderId="22" xfId="0" applyNumberFormat="1" applyBorder="1"/>
    <xf numFmtId="0" fontId="0" fillId="8" borderId="22" xfId="2" applyNumberFormat="1" applyFont="1" applyFill="1" applyBorder="1"/>
    <xf numFmtId="2" fontId="0" fillId="8" borderId="22" xfId="2" applyNumberFormat="1" applyFont="1" applyFill="1" applyBorder="1"/>
    <xf numFmtId="0" fontId="0" fillId="0" borderId="22" xfId="0" applyFill="1" applyBorder="1" applyAlignment="1">
      <alignment wrapText="1"/>
    </xf>
    <xf numFmtId="43" fontId="0" fillId="0" borderId="22" xfId="1" applyFont="1" applyBorder="1"/>
    <xf numFmtId="44" fontId="0" fillId="0" borderId="22" xfId="2" applyFont="1" applyBorder="1"/>
    <xf numFmtId="2" fontId="2" fillId="8" borderId="22" xfId="2" applyNumberFormat="1" applyFont="1" applyFill="1" applyBorder="1"/>
    <xf numFmtId="43" fontId="2" fillId="0" borderId="22" xfId="0" applyNumberFormat="1" applyFont="1" applyBorder="1"/>
    <xf numFmtId="167" fontId="10" fillId="0" borderId="0" xfId="0" applyNumberFormat="1" applyFont="1"/>
    <xf numFmtId="0" fontId="0" fillId="0" borderId="0" xfId="0" quotePrefix="1"/>
    <xf numFmtId="2" fontId="0" fillId="0" borderId="22" xfId="0" applyNumberFormat="1" applyBorder="1"/>
    <xf numFmtId="9" fontId="0" fillId="0" borderId="0" xfId="3" applyFont="1"/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5" fillId="3" borderId="29" xfId="4" applyFont="1" applyFill="1" applyBorder="1" applyAlignment="1" applyProtection="1">
      <alignment horizontal="center"/>
      <protection hidden="1"/>
    </xf>
    <xf numFmtId="169" fontId="5" fillId="3" borderId="30" xfId="4" applyNumberFormat="1" applyFont="1" applyFill="1" applyBorder="1" applyAlignment="1" applyProtection="1">
      <alignment horizontal="center"/>
      <protection hidden="1"/>
    </xf>
    <xf numFmtId="169" fontId="5" fillId="3" borderId="31" xfId="4" applyNumberFormat="1" applyFont="1" applyFill="1" applyBorder="1" applyAlignment="1" applyProtection="1">
      <alignment horizontal="center"/>
      <protection hidden="1"/>
    </xf>
    <xf numFmtId="166" fontId="8" fillId="0" borderId="8" xfId="4" applyNumberFormat="1" applyFont="1" applyBorder="1" applyProtection="1">
      <protection hidden="1"/>
    </xf>
    <xf numFmtId="166" fontId="8" fillId="0" borderId="32" xfId="4" applyNumberFormat="1" applyFont="1" applyBorder="1" applyProtection="1">
      <protection hidden="1"/>
    </xf>
    <xf numFmtId="166" fontId="8" fillId="0" borderId="16" xfId="4" applyNumberFormat="1" applyFont="1" applyBorder="1" applyProtection="1">
      <protection hidden="1"/>
    </xf>
    <xf numFmtId="4" fontId="5" fillId="0" borderId="33" xfId="4" applyNumberFormat="1" applyFont="1" applyBorder="1" applyAlignment="1" applyProtection="1">
      <alignment horizontal="right"/>
      <protection hidden="1"/>
    </xf>
    <xf numFmtId="0" fontId="0" fillId="4" borderId="22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164" fontId="4" fillId="2" borderId="21" xfId="4" applyNumberFormat="1" applyFont="1" applyFill="1" applyBorder="1" applyAlignment="1" applyProtection="1">
      <alignment horizontal="center"/>
      <protection hidden="1"/>
    </xf>
    <xf numFmtId="164" fontId="4" fillId="2" borderId="5" xfId="4" applyNumberFormat="1" applyFont="1" applyFill="1" applyBorder="1" applyAlignment="1" applyProtection="1">
      <alignment horizontal="center"/>
      <protection hidden="1"/>
    </xf>
    <xf numFmtId="0" fontId="0" fillId="5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2" fillId="0" borderId="0" xfId="0" applyFont="1" applyBorder="1"/>
    <xf numFmtId="44" fontId="2" fillId="0" borderId="0" xfId="0" applyNumberFormat="1" applyFont="1" applyBorder="1"/>
    <xf numFmtId="167" fontId="0" fillId="0" borderId="0" xfId="0" applyNumberFormat="1" applyBorder="1"/>
    <xf numFmtId="44" fontId="0" fillId="0" borderId="0" xfId="0" applyNumberFormat="1" applyBorder="1"/>
    <xf numFmtId="2" fontId="0" fillId="0" borderId="22" xfId="2" applyNumberFormat="1" applyFont="1" applyFill="1" applyBorder="1"/>
    <xf numFmtId="2" fontId="2" fillId="0" borderId="22" xfId="2" applyNumberFormat="1" applyFont="1" applyFill="1" applyBorder="1"/>
    <xf numFmtId="0" fontId="0" fillId="0" borderId="0" xfId="0" applyFill="1" applyBorder="1" applyAlignment="1">
      <alignment wrapText="1"/>
    </xf>
    <xf numFmtId="44" fontId="0" fillId="0" borderId="0" xfId="2" applyFont="1" applyBorder="1"/>
    <xf numFmtId="0" fontId="0" fillId="0" borderId="34" xfId="0" applyBorder="1" applyAlignment="1">
      <alignment wrapText="1"/>
    </xf>
    <xf numFmtId="43" fontId="0" fillId="0" borderId="34" xfId="1" applyFont="1" applyBorder="1"/>
    <xf numFmtId="43" fontId="2" fillId="0" borderId="34" xfId="0" applyNumberFormat="1" applyFont="1" applyBorder="1"/>
    <xf numFmtId="166" fontId="0" fillId="8" borderId="22" xfId="2" applyNumberFormat="1" applyFont="1" applyFill="1" applyBorder="1"/>
    <xf numFmtId="0" fontId="0" fillId="0" borderId="34" xfId="0" applyBorder="1"/>
    <xf numFmtId="44" fontId="0" fillId="0" borderId="34" xfId="2" applyFont="1" applyBorder="1"/>
    <xf numFmtId="0" fontId="0" fillId="0" borderId="34" xfId="0" applyBorder="1" applyAlignment="1">
      <alignment horizontal="center"/>
    </xf>
    <xf numFmtId="44" fontId="0" fillId="0" borderId="22" xfId="2" applyFont="1" applyFill="1" applyBorder="1"/>
    <xf numFmtId="44" fontId="0" fillId="0" borderId="0" xfId="2" applyFont="1" applyFill="1" applyBorder="1"/>
    <xf numFmtId="2" fontId="0" fillId="0" borderId="34" xfId="2" applyNumberFormat="1" applyFont="1" applyBorder="1"/>
    <xf numFmtId="0" fontId="0" fillId="0" borderId="0" xfId="0" applyBorder="1" applyAlignment="1">
      <alignment wrapText="1"/>
    </xf>
    <xf numFmtId="178" fontId="0" fillId="0" borderId="0" xfId="2" applyNumberFormat="1" applyFont="1" applyBorder="1"/>
  </cellXfs>
  <cellStyles count="7">
    <cellStyle name="Comma" xfId="1" builtinId="3"/>
    <cellStyle name="Comma 9" xfId="6"/>
    <cellStyle name="Currency" xfId="2" builtinId="4"/>
    <cellStyle name="Normal" xfId="0" builtinId="0"/>
    <cellStyle name="Normal 3 25" xfId="5"/>
    <cellStyle name="Normal_Template WILKS Tariff Model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342900</xdr:colOff>
      <xdr:row>1</xdr:row>
      <xdr:rowOff>104775</xdr:rowOff>
    </xdr:from>
    <xdr:to>
      <xdr:col>27</xdr:col>
      <xdr:colOff>55890</xdr:colOff>
      <xdr:row>28</xdr:row>
      <xdr:rowOff>85029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99C02E6-8DB2-4D25-A698-F2C848AB1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77625" y="295275"/>
          <a:ext cx="10076190" cy="55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266700</xdr:colOff>
      <xdr:row>1</xdr:row>
      <xdr:rowOff>0</xdr:rowOff>
    </xdr:from>
    <xdr:to>
      <xdr:col>22</xdr:col>
      <xdr:colOff>208643</xdr:colOff>
      <xdr:row>20</xdr:row>
      <xdr:rowOff>28063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4835F63-643E-41FD-B929-762BA1DFC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05900" y="190500"/>
          <a:ext cx="7257143" cy="40952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266700</xdr:colOff>
      <xdr:row>1</xdr:row>
      <xdr:rowOff>0</xdr:rowOff>
    </xdr:from>
    <xdr:to>
      <xdr:col>22</xdr:col>
      <xdr:colOff>208643</xdr:colOff>
      <xdr:row>20</xdr:row>
      <xdr:rowOff>28063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3F7024-31C6-4EB7-9559-3FF55D095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44225" y="190500"/>
          <a:ext cx="7257143" cy="40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3"/>
  <sheetViews>
    <sheetView tabSelected="1" workbookViewId="0">
      <selection activeCell="B60" sqref="B60"/>
    </sheetView>
  </sheetViews>
  <sheetFormatPr defaultRowHeight="15" x14ac:dyDescent="0.25"/>
  <cols>
    <col min="2" max="2" width="26.28515625" customWidth="1"/>
    <col min="3" max="3" width="18" customWidth="1"/>
    <col min="4" max="4" width="17.85546875" customWidth="1"/>
    <col min="5" max="5" width="18.7109375" bestFit="1" customWidth="1"/>
    <col min="6" max="6" width="16.85546875" bestFit="1" customWidth="1"/>
    <col min="7" max="7" width="18.42578125" customWidth="1"/>
    <col min="8" max="8" width="17.28515625" customWidth="1"/>
    <col min="9" max="9" width="15.28515625" customWidth="1"/>
  </cols>
  <sheetData>
    <row r="2" spans="2:9" x14ac:dyDescent="0.25">
      <c r="B2" t="s">
        <v>55</v>
      </c>
    </row>
    <row r="3" spans="2:9" x14ac:dyDescent="0.25">
      <c r="B3" t="s">
        <v>26</v>
      </c>
      <c r="C3" s="41">
        <f>2885.78479114463*10^6</f>
        <v>2885784791.14463</v>
      </c>
    </row>
    <row r="4" spans="2:9" x14ac:dyDescent="0.25">
      <c r="B4" t="s">
        <v>27</v>
      </c>
      <c r="C4" s="41">
        <f>17.1561196713808*10^6</f>
        <v>17156119.671380799</v>
      </c>
      <c r="D4" t="s">
        <v>90</v>
      </c>
    </row>
    <row r="6" spans="2:9" x14ac:dyDescent="0.25">
      <c r="B6" t="s">
        <v>28</v>
      </c>
      <c r="C6" s="41">
        <f>374.926291701978*10^6</f>
        <v>374926291.70197803</v>
      </c>
    </row>
    <row r="9" spans="2:9" ht="15.75" x14ac:dyDescent="0.25">
      <c r="B9" s="29" t="s">
        <v>67</v>
      </c>
      <c r="C9" s="30">
        <f>(C3)-C6</f>
        <v>2510858499.4426517</v>
      </c>
      <c r="D9" t="s">
        <v>66</v>
      </c>
    </row>
    <row r="11" spans="2:9" ht="15.75" x14ac:dyDescent="0.25">
      <c r="B11" s="29" t="s">
        <v>68</v>
      </c>
    </row>
    <row r="12" spans="2:9" ht="48.75" customHeight="1" x14ac:dyDescent="0.25">
      <c r="B12" s="71" t="s">
        <v>8</v>
      </c>
      <c r="C12" s="71"/>
      <c r="D12" s="36" t="s">
        <v>30</v>
      </c>
      <c r="E12" s="37" t="s">
        <v>31</v>
      </c>
      <c r="F12" s="47" t="s">
        <v>33</v>
      </c>
      <c r="G12" s="47" t="s">
        <v>38</v>
      </c>
      <c r="H12" s="47" t="s">
        <v>36</v>
      </c>
      <c r="I12" s="47" t="s">
        <v>39</v>
      </c>
    </row>
    <row r="13" spans="2:9" x14ac:dyDescent="0.25">
      <c r="B13" s="31">
        <v>1</v>
      </c>
      <c r="C13" s="32" t="s">
        <v>10</v>
      </c>
      <c r="D13" s="48">
        <f>INDEX('Data Tables'!$D$7:$J$21,MATCH('Worked Example (pre TCR)'!$C13,'Data Tables'!$C$7:$C$20,0),MATCH('Worked Example (pre TCR)'!D$12,'Data Tables'!$D$6:$J$6,0))</f>
        <v>-2.1816911980665044</v>
      </c>
      <c r="E13" s="48">
        <f>INDEX('Data Tables'!$D$7:$J$21,MATCH('Worked Example (pre TCR)'!$C13,'Data Tables'!$C$7:$C$20,0),MATCH('Worked Example (pre TCR)'!E$12,'Data Tables'!$D$6:$J$6,0))</f>
        <v>-28.437799714589204</v>
      </c>
      <c r="F13" s="49">
        <f>D13+E13</f>
        <v>-30.619490912655706</v>
      </c>
      <c r="G13" s="49">
        <f>F13*10^6</f>
        <v>-30619490.912655707</v>
      </c>
      <c r="H13" s="50">
        <f>INDEX('Data Tables'!$D$7:$J$21,MATCH('Worked Example (pre TCR)'!$C13,'Data Tables'!$C$7:$C$20,0),MATCH('Worked Example (pre TCR)'!H$12,'Data Tables'!$D$6:$J$6,0))</f>
        <v>1.47</v>
      </c>
      <c r="I13" s="49">
        <f>H13*G13</f>
        <v>-45010651.641603887</v>
      </c>
    </row>
    <row r="14" spans="2:9" x14ac:dyDescent="0.25">
      <c r="B14" s="31">
        <v>2</v>
      </c>
      <c r="C14" s="32" t="s">
        <v>11</v>
      </c>
      <c r="D14" s="48">
        <f>INDEX('Data Tables'!$D$7:$J$21,MATCH('Worked Example (pre TCR)'!$C14,'Data Tables'!$C$7:$C$20,0),MATCH('Worked Example (pre TCR)'!D$12,'Data Tables'!$D$6:$J$6,0))</f>
        <v>-2.1467882916375296</v>
      </c>
      <c r="E14" s="48">
        <f>INDEX('Data Tables'!$D$7:$J$21,MATCH('Worked Example (pre TCR)'!$C14,'Data Tables'!$C$7:$C$20,0),MATCH('Worked Example (pre TCR)'!E$12,'Data Tables'!$D$6:$J$6,0))</f>
        <v>-20.8357503473697</v>
      </c>
      <c r="F14" s="49">
        <f t="shared" ref="F14:F26" si="0">D14+E14</f>
        <v>-22.982538639007231</v>
      </c>
      <c r="G14" s="49">
        <f t="shared" ref="G14:G26" si="1">F14*10^6</f>
        <v>-22982538.639007229</v>
      </c>
      <c r="H14" s="50">
        <f>INDEX('Data Tables'!$D$7:$J$21,MATCH('Worked Example (pre TCR)'!$C14,'Data Tables'!$C$7:$C$20,0),MATCH('Worked Example (pre TCR)'!H$12,'Data Tables'!$D$6:$J$6,0))</f>
        <v>3.36</v>
      </c>
      <c r="I14" s="49">
        <f t="shared" ref="I14:I26" si="2">H14*G14</f>
        <v>-77221329.827064291</v>
      </c>
    </row>
    <row r="15" spans="2:9" x14ac:dyDescent="0.25">
      <c r="B15" s="31">
        <v>3</v>
      </c>
      <c r="C15" s="32" t="s">
        <v>12</v>
      </c>
      <c r="D15" s="48">
        <f>INDEX('Data Tables'!$D$7:$J$21,MATCH('Worked Example (pre TCR)'!$C15,'Data Tables'!$C$7:$C$20,0),MATCH('Worked Example (pre TCR)'!D$12,'Data Tables'!$D$6:$J$6,0))</f>
        <v>-3.6192884308827087</v>
      </c>
      <c r="E15" s="48">
        <f>INDEX('Data Tables'!$D$7:$J$21,MATCH('Worked Example (pre TCR)'!$C15,'Data Tables'!$C$7:$C$20,0),MATCH('Worked Example (pre TCR)'!E$12,'Data Tables'!$D$6:$J$6,0))</f>
        <v>-8.0963697831774333</v>
      </c>
      <c r="F15" s="49">
        <f t="shared" si="0"/>
        <v>-11.715658214060142</v>
      </c>
      <c r="G15" s="49">
        <f t="shared" si="1"/>
        <v>-11715658.214060141</v>
      </c>
      <c r="H15" s="50">
        <f>INDEX('Data Tables'!$D$7:$J$21,MATCH('Worked Example (pre TCR)'!$C15,'Data Tables'!$C$7:$C$20,0),MATCH('Worked Example (pre TCR)'!H$12,'Data Tables'!$D$6:$J$6,0))</f>
        <v>2.5099999999999998</v>
      </c>
      <c r="I15" s="49">
        <f t="shared" si="2"/>
        <v>-29406302.117290951</v>
      </c>
    </row>
    <row r="16" spans="2:9" x14ac:dyDescent="0.25">
      <c r="B16" s="31">
        <v>4</v>
      </c>
      <c r="C16" s="32" t="s">
        <v>13</v>
      </c>
      <c r="D16" s="48">
        <f>INDEX('Data Tables'!$D$7:$J$21,MATCH('Worked Example (pre TCR)'!$C16,'Data Tables'!$C$7:$C$20,0),MATCH('Worked Example (pre TCR)'!D$12,'Data Tables'!$D$6:$J$6,0))</f>
        <v>-1.6905020185892174</v>
      </c>
      <c r="E16" s="48">
        <f>INDEX('Data Tables'!$D$7:$J$21,MATCH('Worked Example (pre TCR)'!$C16,'Data Tables'!$C$7:$C$20,0),MATCH('Worked Example (pre TCR)'!E$12,'Data Tables'!$D$6:$J$6,0))</f>
        <v>-3.3694252819165991</v>
      </c>
      <c r="F16" s="49">
        <f t="shared" si="0"/>
        <v>-5.0599273005058167</v>
      </c>
      <c r="G16" s="49">
        <f t="shared" si="1"/>
        <v>-5059927.3005058169</v>
      </c>
      <c r="H16" s="50">
        <f>INDEX('Data Tables'!$D$7:$J$21,MATCH('Worked Example (pre TCR)'!$C16,'Data Tables'!$C$7:$C$20,0),MATCH('Worked Example (pre TCR)'!H$12,'Data Tables'!$D$6:$J$6,0))</f>
        <v>3.95</v>
      </c>
      <c r="I16" s="49">
        <f t="shared" si="2"/>
        <v>-19986712.836997978</v>
      </c>
    </row>
    <row r="17" spans="2:9" x14ac:dyDescent="0.25">
      <c r="B17" s="31">
        <v>5</v>
      </c>
      <c r="C17" s="32" t="s">
        <v>14</v>
      </c>
      <c r="D17" s="48">
        <f>INDEX('Data Tables'!$D$7:$J$21,MATCH('Worked Example (pre TCR)'!$C17,'Data Tables'!$C$7:$C$20,0),MATCH('Worked Example (pre TCR)'!D$12,'Data Tables'!$D$6:$J$6,0))</f>
        <v>-2.5257935925973745</v>
      </c>
      <c r="E17" s="48">
        <f>INDEX('Data Tables'!$D$7:$J$21,MATCH('Worked Example (pre TCR)'!$C17,'Data Tables'!$C$7:$C$20,0),MATCH('Worked Example (pre TCR)'!E$12,'Data Tables'!$D$6:$J$6,0))</f>
        <v>-1.373597256629165</v>
      </c>
      <c r="F17" s="49">
        <f t="shared" si="0"/>
        <v>-3.8993908492265392</v>
      </c>
      <c r="G17" s="49">
        <f t="shared" si="1"/>
        <v>-3899390.849226539</v>
      </c>
      <c r="H17" s="50">
        <f>INDEX('Data Tables'!$D$7:$J$21,MATCH('Worked Example (pre TCR)'!$C17,'Data Tables'!$C$7:$C$20,0),MATCH('Worked Example (pre TCR)'!H$12,'Data Tables'!$D$6:$J$6,0))</f>
        <v>3.77</v>
      </c>
      <c r="I17" s="49">
        <f t="shared" si="2"/>
        <v>-14700703.501584053</v>
      </c>
    </row>
    <row r="18" spans="2:9" x14ac:dyDescent="0.25">
      <c r="B18" s="31">
        <v>6</v>
      </c>
      <c r="C18" s="32" t="s">
        <v>15</v>
      </c>
      <c r="D18" s="48">
        <f>INDEX('Data Tables'!$D$7:$J$21,MATCH('Worked Example (pre TCR)'!$C18,'Data Tables'!$C$7:$C$20,0),MATCH('Worked Example (pre TCR)'!D$12,'Data Tables'!$D$6:$J$6,0))</f>
        <v>-1.8410137719105926</v>
      </c>
      <c r="E18" s="48">
        <f>INDEX('Data Tables'!$D$7:$J$21,MATCH('Worked Example (pre TCR)'!$C18,'Data Tables'!$C$7:$C$20,0),MATCH('Worked Example (pre TCR)'!E$12,'Data Tables'!$D$6:$J$6,0))</f>
        <v>-0.98761051494839514</v>
      </c>
      <c r="F18" s="49">
        <f t="shared" si="0"/>
        <v>-2.8286242868589877</v>
      </c>
      <c r="G18" s="49">
        <f t="shared" si="1"/>
        <v>-2828624.2868589875</v>
      </c>
      <c r="H18" s="50">
        <f>INDEX('Data Tables'!$D$7:$J$21,MATCH('Worked Example (pre TCR)'!$C18,'Data Tables'!$C$7:$C$20,0),MATCH('Worked Example (pre TCR)'!H$12,'Data Tables'!$D$6:$J$6,0))</f>
        <v>2.57</v>
      </c>
      <c r="I18" s="49">
        <f t="shared" si="2"/>
        <v>-7269564.4172275979</v>
      </c>
    </row>
    <row r="19" spans="2:9" x14ac:dyDescent="0.25">
      <c r="B19" s="31">
        <v>7</v>
      </c>
      <c r="C19" s="32" t="s">
        <v>16</v>
      </c>
      <c r="D19" s="48">
        <f>INDEX('Data Tables'!$D$7:$J$21,MATCH('Worked Example (pre TCR)'!$C19,'Data Tables'!$C$7:$C$20,0),MATCH('Worked Example (pre TCR)'!D$12,'Data Tables'!$D$6:$J$6,0))</f>
        <v>-2.2445143032399533</v>
      </c>
      <c r="E19" s="48">
        <f>INDEX('Data Tables'!$D$7:$J$21,MATCH('Worked Example (pre TCR)'!$C19,'Data Tables'!$C$7:$C$20,0),MATCH('Worked Example (pre TCR)'!E$12,'Data Tables'!$D$6:$J$6,0))</f>
        <v>1.9000051499386192</v>
      </c>
      <c r="F19" s="49">
        <f t="shared" si="0"/>
        <v>-0.34450915330133403</v>
      </c>
      <c r="G19" s="49">
        <f t="shared" si="1"/>
        <v>-344509.15330133401</v>
      </c>
      <c r="H19" s="50">
        <f>INDEX('Data Tables'!$D$7:$J$21,MATCH('Worked Example (pre TCR)'!$C19,'Data Tables'!$C$7:$C$20,0),MATCH('Worked Example (pre TCR)'!H$12,'Data Tables'!$D$6:$J$6,0))</f>
        <v>4.59</v>
      </c>
      <c r="I19" s="49">
        <f t="shared" si="2"/>
        <v>-1581297.0136531231</v>
      </c>
    </row>
    <row r="20" spans="2:9" x14ac:dyDescent="0.25">
      <c r="B20" s="31">
        <v>8</v>
      </c>
      <c r="C20" s="32" t="s">
        <v>17</v>
      </c>
      <c r="D20" s="48">
        <f>INDEX('Data Tables'!$D$7:$J$21,MATCH('Worked Example (pre TCR)'!$C20,'Data Tables'!$C$7:$C$20,0),MATCH('Worked Example (pre TCR)'!D$12,'Data Tables'!$D$6:$J$6,0))</f>
        <v>-1.9271845725519481</v>
      </c>
      <c r="E20" s="48">
        <f>INDEX('Data Tables'!$D$7:$J$21,MATCH('Worked Example (pre TCR)'!$C20,'Data Tables'!$C$7:$C$20,0),MATCH('Worked Example (pre TCR)'!E$12,'Data Tables'!$D$6:$J$6,0))</f>
        <v>2.8437706866408097</v>
      </c>
      <c r="F20" s="49">
        <f t="shared" si="0"/>
        <v>0.91658611408886159</v>
      </c>
      <c r="G20" s="49">
        <f t="shared" si="1"/>
        <v>916586.11408886162</v>
      </c>
      <c r="H20" s="50">
        <f>INDEX('Data Tables'!$D$7:$J$21,MATCH('Worked Example (pre TCR)'!$C20,'Data Tables'!$C$7:$C$20,0),MATCH('Worked Example (pre TCR)'!H$12,'Data Tables'!$D$6:$J$6,0))</f>
        <v>4.17</v>
      </c>
      <c r="I20" s="49">
        <f t="shared" si="2"/>
        <v>3822164.0957505531</v>
      </c>
    </row>
    <row r="21" spans="2:9" x14ac:dyDescent="0.25">
      <c r="B21" s="31">
        <v>9</v>
      </c>
      <c r="C21" s="32" t="s">
        <v>18</v>
      </c>
      <c r="D21" s="48">
        <f>INDEX('Data Tables'!$D$7:$J$21,MATCH('Worked Example (pre TCR)'!$C21,'Data Tables'!$C$7:$C$20,0),MATCH('Worked Example (pre TCR)'!D$12,'Data Tables'!$D$6:$J$6,0))</f>
        <v>1.390004908593919</v>
      </c>
      <c r="E21" s="48">
        <f>INDEX('Data Tables'!$D$7:$J$21,MATCH('Worked Example (pre TCR)'!$C21,'Data Tables'!$C$7:$C$20,0),MATCH('Worked Example (pre TCR)'!E$12,'Data Tables'!$D$6:$J$6,0))</f>
        <v>0.36697219078023358</v>
      </c>
      <c r="F21" s="49">
        <f t="shared" si="0"/>
        <v>1.7569770993741525</v>
      </c>
      <c r="G21" s="49">
        <f t="shared" si="1"/>
        <v>1756977.0993741525</v>
      </c>
      <c r="H21" s="50">
        <f>INDEX('Data Tables'!$D$7:$J$21,MATCH('Worked Example (pre TCR)'!$C21,'Data Tables'!$C$7:$C$20,0),MATCH('Worked Example (pre TCR)'!H$12,'Data Tables'!$D$6:$J$6,0))</f>
        <v>6.34</v>
      </c>
      <c r="I21" s="49">
        <f t="shared" si="2"/>
        <v>11139234.810032127</v>
      </c>
    </row>
    <row r="22" spans="2:9" x14ac:dyDescent="0.25">
      <c r="B22" s="31">
        <v>10</v>
      </c>
      <c r="C22" s="32" t="s">
        <v>19</v>
      </c>
      <c r="D22" s="48">
        <f>INDEX('Data Tables'!$D$7:$J$21,MATCH('Worked Example (pre TCR)'!$C22,'Data Tables'!$C$7:$C$20,0),MATCH('Worked Example (pre TCR)'!D$12,'Data Tables'!$D$6:$J$6,0))</f>
        <v>-6.027019451686221</v>
      </c>
      <c r="E22" s="48">
        <f>INDEX('Data Tables'!$D$7:$J$21,MATCH('Worked Example (pre TCR)'!$C22,'Data Tables'!$C$7:$C$20,0),MATCH('Worked Example (pre TCR)'!E$12,'Data Tables'!$D$6:$J$6,0))</f>
        <v>4.9080195416158858</v>
      </c>
      <c r="F22" s="49">
        <f t="shared" si="0"/>
        <v>-1.1189999100703352</v>
      </c>
      <c r="G22" s="49">
        <f t="shared" si="1"/>
        <v>-1118999.9100703353</v>
      </c>
      <c r="H22" s="50">
        <f>INDEX('Data Tables'!$D$7:$J$21,MATCH('Worked Example (pre TCR)'!$C22,'Data Tables'!$C$7:$C$20,0),MATCH('Worked Example (pre TCR)'!H$12,'Data Tables'!$D$6:$J$6,0))</f>
        <v>1.78</v>
      </c>
      <c r="I22" s="49">
        <f t="shared" si="2"/>
        <v>-1991819.8399251967</v>
      </c>
    </row>
    <row r="23" spans="2:9" x14ac:dyDescent="0.25">
      <c r="B23" s="31">
        <v>11</v>
      </c>
      <c r="C23" s="32" t="s">
        <v>20</v>
      </c>
      <c r="D23" s="48">
        <f>INDEX('Data Tables'!$D$7:$J$21,MATCH('Worked Example (pre TCR)'!$C23,'Data Tables'!$C$7:$C$20,0),MATCH('Worked Example (pre TCR)'!D$12,'Data Tables'!$D$6:$J$6,0))</f>
        <v>3.9083843934026974</v>
      </c>
      <c r="E23" s="48">
        <f>INDEX('Data Tables'!$D$7:$J$21,MATCH('Worked Example (pre TCR)'!$C23,'Data Tables'!$C$7:$C$20,0),MATCH('Worked Example (pre TCR)'!E$12,'Data Tables'!$D$6:$J$6,0))</f>
        <v>0.86337577449396297</v>
      </c>
      <c r="F23" s="49">
        <f t="shared" si="0"/>
        <v>4.7717601678966606</v>
      </c>
      <c r="G23" s="49">
        <f t="shared" si="1"/>
        <v>4771760.167896661</v>
      </c>
      <c r="H23" s="50">
        <f>INDEX('Data Tables'!$D$7:$J$21,MATCH('Worked Example (pre TCR)'!$C23,'Data Tables'!$C$7:$C$20,0),MATCH('Worked Example (pre TCR)'!H$12,'Data Tables'!$D$6:$J$6,0))</f>
        <v>3.83</v>
      </c>
      <c r="I23" s="49">
        <f t="shared" si="2"/>
        <v>18275841.443044212</v>
      </c>
    </row>
    <row r="24" spans="2:9" x14ac:dyDescent="0.25">
      <c r="B24" s="31">
        <v>12</v>
      </c>
      <c r="C24" s="32" t="s">
        <v>21</v>
      </c>
      <c r="D24" s="48">
        <f>INDEX('Data Tables'!$D$7:$J$21,MATCH('Worked Example (pre TCR)'!$C24,'Data Tables'!$C$7:$C$20,0),MATCH('Worked Example (pre TCR)'!D$12,'Data Tables'!$D$6:$J$6,0))</f>
        <v>5.7788014503436615</v>
      </c>
      <c r="E24" s="48">
        <f>INDEX('Data Tables'!$D$7:$J$21,MATCH('Worked Example (pre TCR)'!$C24,'Data Tables'!$C$7:$C$20,0),MATCH('Worked Example (pre TCR)'!E$12,'Data Tables'!$D$6:$J$6,0))</f>
        <v>1.7593821463569452</v>
      </c>
      <c r="F24" s="49">
        <f t="shared" si="0"/>
        <v>7.5381835967006072</v>
      </c>
      <c r="G24" s="49">
        <f t="shared" si="1"/>
        <v>7538183.5967006069</v>
      </c>
      <c r="H24" s="50">
        <f>INDEX('Data Tables'!$D$7:$J$21,MATCH('Worked Example (pre TCR)'!$C24,'Data Tables'!$C$7:$C$20,0),MATCH('Worked Example (pre TCR)'!H$12,'Data Tables'!$D$6:$J$6,0))</f>
        <v>4.12</v>
      </c>
      <c r="I24" s="49">
        <f t="shared" si="2"/>
        <v>31057316.418406501</v>
      </c>
    </row>
    <row r="25" spans="2:9" x14ac:dyDescent="0.25">
      <c r="B25" s="31">
        <v>13</v>
      </c>
      <c r="C25" s="32" t="s">
        <v>22</v>
      </c>
      <c r="D25" s="48">
        <f>INDEX('Data Tables'!$D$7:$J$21,MATCH('Worked Example (pre TCR)'!$C25,'Data Tables'!$C$7:$C$20,0),MATCH('Worked Example (pre TCR)'!D$12,'Data Tables'!$D$6:$J$6,0))</f>
        <v>1.9753704754688934</v>
      </c>
      <c r="E25" s="48">
        <f>INDEX('Data Tables'!$D$7:$J$21,MATCH('Worked Example (pre TCR)'!$C25,'Data Tables'!$C$7:$C$20,0),MATCH('Worked Example (pre TCR)'!E$12,'Data Tables'!$D$6:$J$6,0))</f>
        <v>4.0675412691681183</v>
      </c>
      <c r="F25" s="49">
        <f t="shared" si="0"/>
        <v>6.0429117446370118</v>
      </c>
      <c r="G25" s="49">
        <f t="shared" si="1"/>
        <v>6042911.7446370116</v>
      </c>
      <c r="H25" s="50">
        <f>INDEX('Data Tables'!$D$7:$J$21,MATCH('Worked Example (pre TCR)'!$C25,'Data Tables'!$C$7:$C$20,0),MATCH('Worked Example (pre TCR)'!H$12,'Data Tables'!$D$6:$J$6,0))</f>
        <v>5.39</v>
      </c>
      <c r="I25" s="49">
        <f t="shared" si="2"/>
        <v>32571294.30359349</v>
      </c>
    </row>
    <row r="26" spans="2:9" x14ac:dyDescent="0.25">
      <c r="B26" s="42">
        <v>14</v>
      </c>
      <c r="C26" s="43" t="s">
        <v>23</v>
      </c>
      <c r="D26" s="48">
        <f>INDEX('Data Tables'!$D$7:$J$21,MATCH('Worked Example (pre TCR)'!$C26,'Data Tables'!$C$7:$C$20,0),MATCH('Worked Example (pre TCR)'!D$12,'Data Tables'!$D$6:$J$6,0))</f>
        <v>-0.46628055470744928</v>
      </c>
      <c r="E26" s="48">
        <f>INDEX('Data Tables'!$D$7:$J$21,MATCH('Worked Example (pre TCR)'!$C26,'Data Tables'!$C$7:$C$20,0),MATCH('Worked Example (pre TCR)'!E$12,'Data Tables'!$D$6:$J$6,0))</f>
        <v>5.7568321935352209</v>
      </c>
      <c r="F26" s="49">
        <f t="shared" si="0"/>
        <v>5.2905516388277718</v>
      </c>
      <c r="G26" s="49">
        <f t="shared" si="1"/>
        <v>5290551.6388277719</v>
      </c>
      <c r="H26" s="50">
        <f>INDEX('Data Tables'!$D$7:$J$21,MATCH('Worked Example (pre TCR)'!$C26,'Data Tables'!$C$7:$C$20,0),MATCH('Worked Example (pre TCR)'!H$12,'Data Tables'!$D$6:$J$6,0))</f>
        <v>2.5499999999999998</v>
      </c>
      <c r="I26" s="49">
        <f t="shared" si="2"/>
        <v>13490906.679010818</v>
      </c>
    </row>
    <row r="27" spans="2:9" x14ac:dyDescent="0.25">
      <c r="B27" s="32"/>
      <c r="C27" s="44" t="s">
        <v>40</v>
      </c>
      <c r="D27" s="32"/>
      <c r="E27" s="32"/>
      <c r="F27" s="32"/>
      <c r="G27" s="32"/>
      <c r="H27" s="45">
        <f>SUM(H13:H26)</f>
        <v>50.4</v>
      </c>
      <c r="I27" s="46">
        <f>SUM(I13:I26)</f>
        <v>-86811623.445509404</v>
      </c>
    </row>
    <row r="28" spans="2:9" x14ac:dyDescent="0.25">
      <c r="B28" t="s">
        <v>37</v>
      </c>
    </row>
    <row r="30" spans="2:9" ht="15.75" x14ac:dyDescent="0.25">
      <c r="B30" s="29" t="s">
        <v>69</v>
      </c>
    </row>
    <row r="31" spans="2:9" ht="45" x14ac:dyDescent="0.25">
      <c r="B31" s="71" t="s">
        <v>8</v>
      </c>
      <c r="C31" s="71"/>
      <c r="D31" s="36" t="s">
        <v>30</v>
      </c>
      <c r="E31" s="37" t="s">
        <v>31</v>
      </c>
      <c r="F31" s="47" t="s">
        <v>33</v>
      </c>
      <c r="G31" s="47" t="s">
        <v>38</v>
      </c>
      <c r="H31" s="47" t="s">
        <v>64</v>
      </c>
      <c r="I31" s="47" t="s">
        <v>42</v>
      </c>
    </row>
    <row r="32" spans="2:9" x14ac:dyDescent="0.25">
      <c r="B32" s="31">
        <v>1</v>
      </c>
      <c r="C32" s="32" t="s">
        <v>10</v>
      </c>
      <c r="D32" s="48">
        <f>INDEX('Data Tables'!$D$7:$J$21,MATCH('Worked Example (pre TCR)'!$C32,'Data Tables'!$C$7:$C$20,0),MATCH('Worked Example (pre TCR)'!D$12,'Data Tables'!$D$6:$J$6,0))</f>
        <v>-2.1816911980665044</v>
      </c>
      <c r="E32" s="48">
        <f>INDEX('Data Tables'!$D$7:$J$21,MATCH('Worked Example (pre TCR)'!$C32,'Data Tables'!$C$7:$C$20,0),MATCH('Worked Example (pre TCR)'!E$12,'Data Tables'!$D$6:$J$6,0))</f>
        <v>-28.437799714589204</v>
      </c>
      <c r="F32" s="49">
        <f>D32+E32</f>
        <v>-30.619490912655706</v>
      </c>
      <c r="G32" s="49">
        <f>F32*10^6</f>
        <v>-30619490.912655707</v>
      </c>
      <c r="H32" s="50">
        <f>INDEX('Data Tables'!$D$7:$K$21,MATCH('Worked Example (pre TCR)'!$C32,'Data Tables'!$C$7:$C$20,0),MATCH('Worked Example (pre TCR)'!H$31,'Data Tables'!$D$6:$K$6,0))/10^3</f>
        <v>0.41614111459853187</v>
      </c>
      <c r="I32" s="49">
        <f>G32*H32</f>
        <v>-12742029.076832164</v>
      </c>
    </row>
    <row r="33" spans="2:9" x14ac:dyDescent="0.25">
      <c r="B33" s="31">
        <v>2</v>
      </c>
      <c r="C33" s="32" t="s">
        <v>11</v>
      </c>
      <c r="D33" s="48">
        <f>INDEX('Data Tables'!$D$7:$J$21,MATCH('Worked Example (pre TCR)'!$C33,'Data Tables'!$C$7:$C$20,0),MATCH('Worked Example (pre TCR)'!D$12,'Data Tables'!$D$6:$J$6,0))</f>
        <v>-2.1467882916375296</v>
      </c>
      <c r="E33" s="48">
        <f>INDEX('Data Tables'!$D$7:$J$21,MATCH('Worked Example (pre TCR)'!$C33,'Data Tables'!$C$7:$C$20,0),MATCH('Worked Example (pre TCR)'!E$12,'Data Tables'!$D$6:$J$6,0))</f>
        <v>-20.8357503473697</v>
      </c>
      <c r="F33" s="49">
        <f t="shared" ref="F33:F45" si="3">D33+E33</f>
        <v>-22.982538639007231</v>
      </c>
      <c r="G33" s="49">
        <f t="shared" ref="G33:G45" si="4">F33*10^6</f>
        <v>-22982538.639007229</v>
      </c>
      <c r="H33" s="50">
        <f>INDEX('Data Tables'!$D$7:$K$21,MATCH('Worked Example (pre TCR)'!$C33,'Data Tables'!$C$7:$C$20,0),MATCH('Worked Example (pre TCR)'!H$31,'Data Tables'!$D$6:$K$6,0))/10^3</f>
        <v>1.159011580351339</v>
      </c>
      <c r="I33" s="49">
        <f t="shared" ref="I33:I45" si="5">G33*H33</f>
        <v>-26637028.428481482</v>
      </c>
    </row>
    <row r="34" spans="2:9" x14ac:dyDescent="0.25">
      <c r="B34" s="31">
        <v>3</v>
      </c>
      <c r="C34" s="32" t="s">
        <v>12</v>
      </c>
      <c r="D34" s="48">
        <f>INDEX('Data Tables'!$D$7:$J$21,MATCH('Worked Example (pre TCR)'!$C34,'Data Tables'!$C$7:$C$20,0),MATCH('Worked Example (pre TCR)'!D$12,'Data Tables'!$D$6:$J$6,0))</f>
        <v>-3.6192884308827087</v>
      </c>
      <c r="E34" s="48">
        <f>INDEX('Data Tables'!$D$7:$J$21,MATCH('Worked Example (pre TCR)'!$C34,'Data Tables'!$C$7:$C$20,0),MATCH('Worked Example (pre TCR)'!E$12,'Data Tables'!$D$6:$J$6,0))</f>
        <v>-8.0963697831774333</v>
      </c>
      <c r="F34" s="49">
        <f t="shared" si="3"/>
        <v>-11.715658214060142</v>
      </c>
      <c r="G34" s="49">
        <f t="shared" si="4"/>
        <v>-11715658.214060141</v>
      </c>
      <c r="H34" s="50">
        <f>INDEX('Data Tables'!$D$7:$K$21,MATCH('Worked Example (pre TCR)'!$C34,'Data Tables'!$C$7:$C$20,0),MATCH('Worked Example (pre TCR)'!H$31,'Data Tables'!$D$6:$K$6,0))/10^3</f>
        <v>0.98178685876961658</v>
      </c>
      <c r="I34" s="49">
        <f t="shared" si="5"/>
        <v>-11502279.276400562</v>
      </c>
    </row>
    <row r="35" spans="2:9" x14ac:dyDescent="0.25">
      <c r="B35" s="31">
        <v>4</v>
      </c>
      <c r="C35" s="32" t="s">
        <v>13</v>
      </c>
      <c r="D35" s="48">
        <f>INDEX('Data Tables'!$D$7:$J$21,MATCH('Worked Example (pre TCR)'!$C35,'Data Tables'!$C$7:$C$20,0),MATCH('Worked Example (pre TCR)'!D$12,'Data Tables'!$D$6:$J$6,0))</f>
        <v>-1.6905020185892174</v>
      </c>
      <c r="E35" s="48">
        <f>INDEX('Data Tables'!$D$7:$J$21,MATCH('Worked Example (pre TCR)'!$C35,'Data Tables'!$C$7:$C$20,0),MATCH('Worked Example (pre TCR)'!E$12,'Data Tables'!$D$6:$J$6,0))</f>
        <v>-3.3694252819165991</v>
      </c>
      <c r="F35" s="49">
        <f t="shared" si="3"/>
        <v>-5.0599273005058167</v>
      </c>
      <c r="G35" s="49">
        <f t="shared" si="4"/>
        <v>-5059927.3005058169</v>
      </c>
      <c r="H35" s="50">
        <f>INDEX('Data Tables'!$D$7:$K$21,MATCH('Worked Example (pre TCR)'!$C35,'Data Tables'!$C$7:$C$20,0),MATCH('Worked Example (pre TCR)'!H$31,'Data Tables'!$D$6:$K$6,0))/10^3</f>
        <v>1.3755941659039252</v>
      </c>
      <c r="I35" s="49">
        <f t="shared" si="5"/>
        <v>-6960406.4744737996</v>
      </c>
    </row>
    <row r="36" spans="2:9" x14ac:dyDescent="0.25">
      <c r="B36" s="31">
        <v>5</v>
      </c>
      <c r="C36" s="32" t="s">
        <v>14</v>
      </c>
      <c r="D36" s="48">
        <f>INDEX('Data Tables'!$D$7:$J$21,MATCH('Worked Example (pre TCR)'!$C36,'Data Tables'!$C$7:$C$20,0),MATCH('Worked Example (pre TCR)'!D$12,'Data Tables'!$D$6:$J$6,0))</f>
        <v>-2.5257935925973745</v>
      </c>
      <c r="E36" s="48">
        <f>INDEX('Data Tables'!$D$7:$J$21,MATCH('Worked Example (pre TCR)'!$C36,'Data Tables'!$C$7:$C$20,0),MATCH('Worked Example (pre TCR)'!E$12,'Data Tables'!$D$6:$J$6,0))</f>
        <v>-1.373597256629165</v>
      </c>
      <c r="F36" s="49">
        <f t="shared" si="3"/>
        <v>-3.8993908492265392</v>
      </c>
      <c r="G36" s="49">
        <f t="shared" si="4"/>
        <v>-3899390.849226539</v>
      </c>
      <c r="H36" s="50">
        <f>INDEX('Data Tables'!$D$7:$K$21,MATCH('Worked Example (pre TCR)'!$C36,'Data Tables'!$C$7:$C$20,0),MATCH('Worked Example (pre TCR)'!H$31,'Data Tables'!$D$6:$K$6,0))/10^3</f>
        <v>1.491230816394433</v>
      </c>
      <c r="I36" s="49">
        <f t="shared" si="5"/>
        <v>-5814891.7995330729</v>
      </c>
    </row>
    <row r="37" spans="2:9" x14ac:dyDescent="0.25">
      <c r="B37" s="31">
        <v>6</v>
      </c>
      <c r="C37" s="32" t="s">
        <v>15</v>
      </c>
      <c r="D37" s="48">
        <f>INDEX('Data Tables'!$D$7:$J$21,MATCH('Worked Example (pre TCR)'!$C37,'Data Tables'!$C$7:$C$20,0),MATCH('Worked Example (pre TCR)'!D$12,'Data Tables'!$D$6:$J$6,0))</f>
        <v>-1.8410137719105926</v>
      </c>
      <c r="E37" s="48">
        <f>INDEX('Data Tables'!$D$7:$J$21,MATCH('Worked Example (pre TCR)'!$C37,'Data Tables'!$C$7:$C$20,0),MATCH('Worked Example (pre TCR)'!E$12,'Data Tables'!$D$6:$J$6,0))</f>
        <v>-0.98761051494839514</v>
      </c>
      <c r="F37" s="49">
        <f t="shared" si="3"/>
        <v>-2.8286242868589877</v>
      </c>
      <c r="G37" s="49">
        <f t="shared" si="4"/>
        <v>-2828624.2868589875</v>
      </c>
      <c r="H37" s="50">
        <f>INDEX('Data Tables'!$D$7:$K$21,MATCH('Worked Example (pre TCR)'!$C37,'Data Tables'!$C$7:$C$20,0),MATCH('Worked Example (pre TCR)'!H$31,'Data Tables'!$D$6:$K$6,0))/10^3</f>
        <v>0.97587137246813094</v>
      </c>
      <c r="I37" s="49">
        <f t="shared" si="5"/>
        <v>-2760373.4650137681</v>
      </c>
    </row>
    <row r="38" spans="2:9" x14ac:dyDescent="0.25">
      <c r="B38" s="31">
        <v>7</v>
      </c>
      <c r="C38" s="32" t="s">
        <v>16</v>
      </c>
      <c r="D38" s="48">
        <f>INDEX('Data Tables'!$D$7:$J$21,MATCH('Worked Example (pre TCR)'!$C38,'Data Tables'!$C$7:$C$20,0),MATCH('Worked Example (pre TCR)'!D$12,'Data Tables'!$D$6:$J$6,0))</f>
        <v>-2.2445143032399533</v>
      </c>
      <c r="E38" s="48">
        <f>INDEX('Data Tables'!$D$7:$J$21,MATCH('Worked Example (pre TCR)'!$C38,'Data Tables'!$C$7:$C$20,0),MATCH('Worked Example (pre TCR)'!E$12,'Data Tables'!$D$6:$J$6,0))</f>
        <v>1.9000051499386192</v>
      </c>
      <c r="F38" s="49">
        <f t="shared" si="3"/>
        <v>-0.34450915330133403</v>
      </c>
      <c r="G38" s="49">
        <f t="shared" si="4"/>
        <v>-344509.15330133401</v>
      </c>
      <c r="H38" s="50">
        <f>INDEX('Data Tables'!$D$7:$K$21,MATCH('Worked Example (pre TCR)'!$C38,'Data Tables'!$C$7:$C$20,0),MATCH('Worked Example (pre TCR)'!H$31,'Data Tables'!$D$6:$K$6,0))/10^3</f>
        <v>1.6761396968149262</v>
      </c>
      <c r="I38" s="49">
        <f t="shared" si="5"/>
        <v>-577445.46776446491</v>
      </c>
    </row>
    <row r="39" spans="2:9" x14ac:dyDescent="0.25">
      <c r="B39" s="31">
        <v>8</v>
      </c>
      <c r="C39" s="32" t="s">
        <v>17</v>
      </c>
      <c r="D39" s="48">
        <f>INDEX('Data Tables'!$D$7:$J$21,MATCH('Worked Example (pre TCR)'!$C39,'Data Tables'!$C$7:$C$20,0),MATCH('Worked Example (pre TCR)'!D$12,'Data Tables'!$D$6:$J$6,0))</f>
        <v>-1.9271845725519481</v>
      </c>
      <c r="E39" s="48">
        <f>INDEX('Data Tables'!$D$7:$J$21,MATCH('Worked Example (pre TCR)'!$C39,'Data Tables'!$C$7:$C$20,0),MATCH('Worked Example (pre TCR)'!E$12,'Data Tables'!$D$6:$J$6,0))</f>
        <v>2.8437706866408097</v>
      </c>
      <c r="F39" s="49">
        <f t="shared" si="3"/>
        <v>0.91658611408886159</v>
      </c>
      <c r="G39" s="49">
        <f t="shared" si="4"/>
        <v>916586.11408886162</v>
      </c>
      <c r="H39" s="50">
        <f>INDEX('Data Tables'!$D$7:$K$21,MATCH('Worked Example (pre TCR)'!$C39,'Data Tables'!$C$7:$C$20,0),MATCH('Worked Example (pre TCR)'!H$31,'Data Tables'!$D$6:$K$6,0))/10^3</f>
        <v>1.4944853605303248</v>
      </c>
      <c r="I39" s="49">
        <f t="shared" si="5"/>
        <v>1369824.5291711818</v>
      </c>
    </row>
    <row r="40" spans="2:9" x14ac:dyDescent="0.25">
      <c r="B40" s="31">
        <v>9</v>
      </c>
      <c r="C40" s="32" t="s">
        <v>18</v>
      </c>
      <c r="D40" s="48">
        <f>INDEX('Data Tables'!$D$7:$J$21,MATCH('Worked Example (pre TCR)'!$C40,'Data Tables'!$C$7:$C$20,0),MATCH('Worked Example (pre TCR)'!D$12,'Data Tables'!$D$6:$J$6,0))</f>
        <v>1.390004908593919</v>
      </c>
      <c r="E40" s="48">
        <f>INDEX('Data Tables'!$D$7:$J$21,MATCH('Worked Example (pre TCR)'!$C40,'Data Tables'!$C$7:$C$20,0),MATCH('Worked Example (pre TCR)'!E$12,'Data Tables'!$D$6:$J$6,0))</f>
        <v>0.36697219078023358</v>
      </c>
      <c r="F40" s="49">
        <f t="shared" si="3"/>
        <v>1.7569770993741525</v>
      </c>
      <c r="G40" s="49">
        <f t="shared" si="4"/>
        <v>1756977.0993741525</v>
      </c>
      <c r="H40" s="50">
        <f>INDEX('Data Tables'!$D$7:$K$21,MATCH('Worked Example (pre TCR)'!$C40,'Data Tables'!$C$7:$C$20,0),MATCH('Worked Example (pre TCR)'!H$31,'Data Tables'!$D$6:$K$6,0))/10^3</f>
        <v>1.9689646687663362</v>
      </c>
      <c r="I40" s="49">
        <f t="shared" si="5"/>
        <v>3459425.8324992666</v>
      </c>
    </row>
    <row r="41" spans="2:9" x14ac:dyDescent="0.25">
      <c r="B41" s="31">
        <v>10</v>
      </c>
      <c r="C41" s="32" t="s">
        <v>19</v>
      </c>
      <c r="D41" s="48">
        <f>INDEX('Data Tables'!$D$7:$J$21,MATCH('Worked Example (pre TCR)'!$C41,'Data Tables'!$C$7:$C$20,0),MATCH('Worked Example (pre TCR)'!D$12,'Data Tables'!$D$6:$J$6,0))</f>
        <v>-6.027019451686221</v>
      </c>
      <c r="E41" s="48">
        <f>INDEX('Data Tables'!$D$7:$J$21,MATCH('Worked Example (pre TCR)'!$C41,'Data Tables'!$C$7:$C$20,0),MATCH('Worked Example (pre TCR)'!E$12,'Data Tables'!$D$6:$J$6,0))</f>
        <v>4.9080195416158858</v>
      </c>
      <c r="F41" s="49">
        <f t="shared" si="3"/>
        <v>-1.1189999100703352</v>
      </c>
      <c r="G41" s="49">
        <f t="shared" si="4"/>
        <v>-1118999.9100703353</v>
      </c>
      <c r="H41" s="50">
        <f>INDEX('Data Tables'!$D$7:$K$21,MATCH('Worked Example (pre TCR)'!$C41,'Data Tables'!$C$7:$C$20,0),MATCH('Worked Example (pre TCR)'!H$31,'Data Tables'!$D$6:$K$6,0))/10^3</f>
        <v>0.7568798455863972</v>
      </c>
      <c r="I41" s="49">
        <f t="shared" si="5"/>
        <v>-846948.4791452277</v>
      </c>
    </row>
    <row r="42" spans="2:9" x14ac:dyDescent="0.25">
      <c r="B42" s="31">
        <v>11</v>
      </c>
      <c r="C42" s="32" t="s">
        <v>20</v>
      </c>
      <c r="D42" s="48">
        <f>INDEX('Data Tables'!$D$7:$J$21,MATCH('Worked Example (pre TCR)'!$C42,'Data Tables'!$C$7:$C$20,0),MATCH('Worked Example (pre TCR)'!D$12,'Data Tables'!$D$6:$J$6,0))</f>
        <v>3.9083843934026974</v>
      </c>
      <c r="E42" s="48">
        <f>INDEX('Data Tables'!$D$7:$J$21,MATCH('Worked Example (pre TCR)'!$C42,'Data Tables'!$C$7:$C$20,0),MATCH('Worked Example (pre TCR)'!E$12,'Data Tables'!$D$6:$J$6,0))</f>
        <v>0.86337577449396297</v>
      </c>
      <c r="F42" s="49">
        <f t="shared" si="3"/>
        <v>4.7717601678966606</v>
      </c>
      <c r="G42" s="49">
        <f t="shared" si="4"/>
        <v>4771760.167896661</v>
      </c>
      <c r="H42" s="50">
        <f>INDEX('Data Tables'!$D$7:$K$21,MATCH('Worked Example (pre TCR)'!$C42,'Data Tables'!$C$7:$C$20,0),MATCH('Worked Example (pre TCR)'!H$31,'Data Tables'!$D$6:$K$6,0))/10^3</f>
        <v>1.0961280382935006</v>
      </c>
      <c r="I42" s="49">
        <f t="shared" si="5"/>
        <v>5230460.1120436322</v>
      </c>
    </row>
    <row r="43" spans="2:9" x14ac:dyDescent="0.25">
      <c r="B43" s="31">
        <v>12</v>
      </c>
      <c r="C43" s="32" t="s">
        <v>21</v>
      </c>
      <c r="D43" s="48">
        <f>INDEX('Data Tables'!$D$7:$J$21,MATCH('Worked Example (pre TCR)'!$C43,'Data Tables'!$C$7:$C$20,0),MATCH('Worked Example (pre TCR)'!D$12,'Data Tables'!$D$6:$J$6,0))</f>
        <v>5.7788014503436615</v>
      </c>
      <c r="E43" s="48">
        <f>INDEX('Data Tables'!$D$7:$J$21,MATCH('Worked Example (pre TCR)'!$C43,'Data Tables'!$C$7:$C$20,0),MATCH('Worked Example (pre TCR)'!E$12,'Data Tables'!$D$6:$J$6,0))</f>
        <v>1.7593821463569452</v>
      </c>
      <c r="F43" s="49">
        <f t="shared" si="3"/>
        <v>7.5381835967006072</v>
      </c>
      <c r="G43" s="49">
        <f t="shared" si="4"/>
        <v>7538183.5967006069</v>
      </c>
      <c r="H43" s="50">
        <f>INDEX('Data Tables'!$D$7:$K$21,MATCH('Worked Example (pre TCR)'!$C43,'Data Tables'!$C$7:$C$20,0),MATCH('Worked Example (pre TCR)'!H$31,'Data Tables'!$D$6:$K$6,0))/10^3</f>
        <v>2.1045728522134834</v>
      </c>
      <c r="I43" s="49">
        <f t="shared" si="5"/>
        <v>15864656.552617092</v>
      </c>
    </row>
    <row r="44" spans="2:9" x14ac:dyDescent="0.25">
      <c r="B44" s="31">
        <v>13</v>
      </c>
      <c r="C44" s="32" t="s">
        <v>22</v>
      </c>
      <c r="D44" s="48">
        <f>INDEX('Data Tables'!$D$7:$J$21,MATCH('Worked Example (pre TCR)'!$C44,'Data Tables'!$C$7:$C$20,0),MATCH('Worked Example (pre TCR)'!D$12,'Data Tables'!$D$6:$J$6,0))</f>
        <v>1.9753704754688934</v>
      </c>
      <c r="E44" s="48">
        <f>INDEX('Data Tables'!$D$7:$J$21,MATCH('Worked Example (pre TCR)'!$C44,'Data Tables'!$C$7:$C$20,0),MATCH('Worked Example (pre TCR)'!E$12,'Data Tables'!$D$6:$J$6,0))</f>
        <v>4.0675412691681183</v>
      </c>
      <c r="F44" s="49">
        <f t="shared" si="3"/>
        <v>6.0429117446370118</v>
      </c>
      <c r="G44" s="49">
        <f t="shared" si="4"/>
        <v>6042911.7446370116</v>
      </c>
      <c r="H44" s="50">
        <f>INDEX('Data Tables'!$D$7:$K$21,MATCH('Worked Example (pre TCR)'!$C44,'Data Tables'!$C$7:$C$20,0),MATCH('Worked Example (pre TCR)'!H$31,'Data Tables'!$D$6:$K$6,0))/10^3</f>
        <v>1.9257689253900272</v>
      </c>
      <c r="I44" s="49">
        <f t="shared" si="5"/>
        <v>11637251.656696392</v>
      </c>
    </row>
    <row r="45" spans="2:9" x14ac:dyDescent="0.25">
      <c r="B45" s="42">
        <v>14</v>
      </c>
      <c r="C45" s="43" t="s">
        <v>23</v>
      </c>
      <c r="D45" s="48">
        <f>INDEX('Data Tables'!$D$7:$J$21,MATCH('Worked Example (pre TCR)'!$C45,'Data Tables'!$C$7:$C$20,0),MATCH('Worked Example (pre TCR)'!D$12,'Data Tables'!$D$6:$J$6,0))</f>
        <v>-0.46628055470744928</v>
      </c>
      <c r="E45" s="48">
        <f>INDEX('Data Tables'!$D$7:$J$21,MATCH('Worked Example (pre TCR)'!$C45,'Data Tables'!$C$7:$C$20,0),MATCH('Worked Example (pre TCR)'!E$12,'Data Tables'!$D$6:$J$6,0))</f>
        <v>5.7568321935352209</v>
      </c>
      <c r="F45" s="49">
        <f t="shared" si="3"/>
        <v>5.2905516388277718</v>
      </c>
      <c r="G45" s="49">
        <f t="shared" si="4"/>
        <v>5290551.6388277719</v>
      </c>
      <c r="H45" s="50">
        <f>INDEX('Data Tables'!$D$7:$K$21,MATCH('Worked Example (pre TCR)'!$C45,'Data Tables'!$C$7:$C$20,0),MATCH('Worked Example (pre TCR)'!H$31,'Data Tables'!$D$6:$K$6,0))/10^3</f>
        <v>0.69612244391902645</v>
      </c>
      <c r="I45" s="49">
        <f t="shared" si="5"/>
        <v>3682871.736500599</v>
      </c>
    </row>
    <row r="46" spans="2:9" x14ac:dyDescent="0.25">
      <c r="B46" s="32"/>
      <c r="C46" s="44" t="s">
        <v>40</v>
      </c>
      <c r="D46" s="32"/>
      <c r="E46" s="32"/>
      <c r="F46" s="32"/>
      <c r="G46" s="32"/>
      <c r="H46" s="45">
        <f>SUM(H32:H45)</f>
        <v>18.118697739999998</v>
      </c>
      <c r="I46" s="46">
        <f>SUM(I32:I45)</f>
        <v>-26596912.048116378</v>
      </c>
    </row>
    <row r="47" spans="2:9" x14ac:dyDescent="0.25">
      <c r="B47" s="79"/>
      <c r="C47" s="80"/>
      <c r="D47" s="79"/>
      <c r="E47" s="79"/>
      <c r="F47" s="79"/>
      <c r="G47" s="79"/>
      <c r="H47" s="81"/>
      <c r="I47" s="82"/>
    </row>
    <row r="48" spans="2:9" ht="15.75" x14ac:dyDescent="0.25">
      <c r="B48" s="29" t="s">
        <v>70</v>
      </c>
      <c r="C48" s="80"/>
      <c r="D48" s="79"/>
      <c r="E48" s="79"/>
      <c r="F48" s="79"/>
      <c r="G48" s="79"/>
      <c r="H48" s="81"/>
      <c r="I48" s="82"/>
    </row>
    <row r="49" spans="2:9" x14ac:dyDescent="0.25">
      <c r="B49" s="83">
        <f>C9</f>
        <v>2510858499.4426517</v>
      </c>
      <c r="C49" s="80"/>
      <c r="D49" s="79"/>
      <c r="E49" s="79"/>
      <c r="F49" s="79"/>
      <c r="G49" s="79"/>
      <c r="H49" s="81"/>
      <c r="I49" s="82"/>
    </row>
    <row r="50" spans="2:9" x14ac:dyDescent="0.25">
      <c r="B50" s="84">
        <f>C4</f>
        <v>17156119.671380799</v>
      </c>
      <c r="C50" s="80"/>
      <c r="D50" s="79"/>
      <c r="E50" s="79"/>
      <c r="F50" s="79"/>
      <c r="G50" s="79"/>
      <c r="H50" s="81"/>
      <c r="I50" s="82"/>
    </row>
    <row r="51" spans="2:9" x14ac:dyDescent="0.25">
      <c r="B51" s="83">
        <f>SUM(B49:B50)</f>
        <v>2528014619.1140327</v>
      </c>
      <c r="C51" s="80" t="s">
        <v>71</v>
      </c>
      <c r="D51" s="79"/>
      <c r="E51" s="79"/>
      <c r="F51" s="79"/>
      <c r="G51" s="79"/>
      <c r="H51" s="81"/>
      <c r="I51" s="82"/>
    </row>
    <row r="52" spans="2:9" x14ac:dyDescent="0.25">
      <c r="B52" s="79"/>
      <c r="C52" s="80"/>
      <c r="D52" s="79"/>
      <c r="E52" s="79"/>
      <c r="F52" s="79"/>
      <c r="G52" s="79"/>
      <c r="H52" s="81"/>
      <c r="I52" s="82"/>
    </row>
    <row r="53" spans="2:9" x14ac:dyDescent="0.25">
      <c r="B53" s="84">
        <f>ABS(I27)</f>
        <v>86811623.445509404</v>
      </c>
      <c r="C53" s="80" t="s">
        <v>91</v>
      </c>
      <c r="D53" s="79"/>
      <c r="E53" s="79"/>
      <c r="F53" s="79"/>
      <c r="G53" s="79"/>
      <c r="H53" s="81"/>
      <c r="I53" s="82"/>
    </row>
    <row r="54" spans="2:9" x14ac:dyDescent="0.25">
      <c r="B54" s="79"/>
      <c r="C54" s="80"/>
      <c r="D54" s="79"/>
      <c r="E54" s="79"/>
      <c r="F54" s="79"/>
      <c r="G54" s="79"/>
      <c r="H54" s="81"/>
      <c r="I54" s="82"/>
    </row>
    <row r="55" spans="2:9" x14ac:dyDescent="0.25">
      <c r="B55" s="83">
        <f>SUM(B51,B53)</f>
        <v>2614826242.5595422</v>
      </c>
      <c r="C55" s="80" t="s">
        <v>72</v>
      </c>
      <c r="D55" s="79"/>
      <c r="E55" s="79"/>
      <c r="F55" s="79"/>
      <c r="G55" s="79"/>
      <c r="H55" s="81"/>
      <c r="I55" s="82"/>
    </row>
    <row r="56" spans="2:9" x14ac:dyDescent="0.25">
      <c r="B56" s="79"/>
      <c r="C56" s="80"/>
      <c r="D56" s="79"/>
      <c r="E56" s="79"/>
      <c r="F56" s="79"/>
      <c r="G56" s="79"/>
      <c r="H56" s="81"/>
      <c r="I56" s="82"/>
    </row>
    <row r="57" spans="2:9" x14ac:dyDescent="0.25">
      <c r="B57" s="84">
        <f>B55/H27</f>
        <v>51881473.066657588</v>
      </c>
      <c r="C57" s="80" t="s">
        <v>73</v>
      </c>
      <c r="D57" s="79"/>
      <c r="E57" s="79"/>
      <c r="F57" s="79"/>
      <c r="G57" s="79"/>
      <c r="H57" s="81"/>
      <c r="I57" s="82"/>
    </row>
    <row r="58" spans="2:9" x14ac:dyDescent="0.25">
      <c r="B58" s="84">
        <f>B57/10^6</f>
        <v>51.881473066657591</v>
      </c>
      <c r="C58" s="80" t="s">
        <v>74</v>
      </c>
      <c r="D58" s="79"/>
      <c r="E58" s="79"/>
      <c r="F58" s="79"/>
      <c r="G58" s="79"/>
      <c r="H58" s="81"/>
      <c r="I58" s="82"/>
    </row>
    <row r="59" spans="2:9" x14ac:dyDescent="0.25">
      <c r="B59" s="79" t="s">
        <v>92</v>
      </c>
      <c r="C59" s="80"/>
      <c r="D59" s="79"/>
      <c r="E59" s="79"/>
      <c r="F59" s="79"/>
      <c r="G59" s="79"/>
      <c r="H59" s="81"/>
      <c r="I59" s="82"/>
    </row>
    <row r="60" spans="2:9" ht="15.75" x14ac:dyDescent="0.25">
      <c r="B60" s="29" t="s">
        <v>75</v>
      </c>
      <c r="C60" s="80"/>
      <c r="D60" s="79"/>
      <c r="E60" s="79"/>
      <c r="F60" s="79"/>
      <c r="G60" s="79"/>
      <c r="H60" s="81"/>
      <c r="I60" s="82"/>
    </row>
    <row r="61" spans="2:9" ht="30" x14ac:dyDescent="0.25">
      <c r="B61" s="61" t="s">
        <v>8</v>
      </c>
      <c r="C61" s="62"/>
      <c r="D61" s="47" t="s">
        <v>76</v>
      </c>
      <c r="E61" s="47" t="s">
        <v>77</v>
      </c>
      <c r="F61" s="89" t="s">
        <v>78</v>
      </c>
      <c r="G61" s="87"/>
    </row>
    <row r="62" spans="2:9" x14ac:dyDescent="0.25">
      <c r="B62" s="31">
        <v>1</v>
      </c>
      <c r="C62" s="32" t="s">
        <v>10</v>
      </c>
      <c r="D62" s="49">
        <f>F32</f>
        <v>-30.619490912655706</v>
      </c>
      <c r="E62" s="85">
        <f>$B$58</f>
        <v>51.881473066657591</v>
      </c>
      <c r="F62" s="90">
        <f>E62+D62</f>
        <v>21.261982154001885</v>
      </c>
      <c r="G62" s="88"/>
    </row>
    <row r="63" spans="2:9" x14ac:dyDescent="0.25">
      <c r="B63" s="31">
        <v>2</v>
      </c>
      <c r="C63" s="32" t="s">
        <v>11</v>
      </c>
      <c r="D63" s="49">
        <f t="shared" ref="D63:D75" si="6">F33</f>
        <v>-22.982538639007231</v>
      </c>
      <c r="E63" s="85">
        <f t="shared" ref="E63:E75" si="7">$B$58</f>
        <v>51.881473066657591</v>
      </c>
      <c r="F63" s="90">
        <f t="shared" ref="F63:F75" si="8">E63+D63</f>
        <v>28.89893442765036</v>
      </c>
      <c r="G63" s="88"/>
    </row>
    <row r="64" spans="2:9" x14ac:dyDescent="0.25">
      <c r="B64" s="31">
        <v>3</v>
      </c>
      <c r="C64" s="32" t="s">
        <v>12</v>
      </c>
      <c r="D64" s="49">
        <f t="shared" si="6"/>
        <v>-11.715658214060142</v>
      </c>
      <c r="E64" s="85">
        <f t="shared" si="7"/>
        <v>51.881473066657591</v>
      </c>
      <c r="F64" s="90">
        <f t="shared" si="8"/>
        <v>40.16581485259745</v>
      </c>
      <c r="G64" s="88"/>
    </row>
    <row r="65" spans="2:7" x14ac:dyDescent="0.25">
      <c r="B65" s="31">
        <v>4</v>
      </c>
      <c r="C65" s="32" t="s">
        <v>13</v>
      </c>
      <c r="D65" s="49">
        <f t="shared" si="6"/>
        <v>-5.0599273005058167</v>
      </c>
      <c r="E65" s="85">
        <f t="shared" si="7"/>
        <v>51.881473066657591</v>
      </c>
      <c r="F65" s="90">
        <f t="shared" si="8"/>
        <v>46.821545766151772</v>
      </c>
      <c r="G65" s="88"/>
    </row>
    <row r="66" spans="2:7" x14ac:dyDescent="0.25">
      <c r="B66" s="31">
        <v>5</v>
      </c>
      <c r="C66" s="32" t="s">
        <v>14</v>
      </c>
      <c r="D66" s="49">
        <f t="shared" si="6"/>
        <v>-3.8993908492265392</v>
      </c>
      <c r="E66" s="85">
        <f t="shared" si="7"/>
        <v>51.881473066657591</v>
      </c>
      <c r="F66" s="90">
        <f t="shared" si="8"/>
        <v>47.982082217431049</v>
      </c>
      <c r="G66" s="88"/>
    </row>
    <row r="67" spans="2:7" x14ac:dyDescent="0.25">
      <c r="B67" s="31">
        <v>6</v>
      </c>
      <c r="C67" s="32" t="s">
        <v>15</v>
      </c>
      <c r="D67" s="49">
        <f t="shared" si="6"/>
        <v>-2.8286242868589877</v>
      </c>
      <c r="E67" s="85">
        <f t="shared" si="7"/>
        <v>51.881473066657591</v>
      </c>
      <c r="F67" s="90">
        <f t="shared" si="8"/>
        <v>49.052848779798602</v>
      </c>
      <c r="G67" s="88"/>
    </row>
    <row r="68" spans="2:7" x14ac:dyDescent="0.25">
      <c r="B68" s="31">
        <v>7</v>
      </c>
      <c r="C68" s="32" t="s">
        <v>16</v>
      </c>
      <c r="D68" s="49">
        <f t="shared" si="6"/>
        <v>-0.34450915330133403</v>
      </c>
      <c r="E68" s="85">
        <f t="shared" si="7"/>
        <v>51.881473066657591</v>
      </c>
      <c r="F68" s="90">
        <f t="shared" si="8"/>
        <v>51.53696391335626</v>
      </c>
      <c r="G68" s="88"/>
    </row>
    <row r="69" spans="2:7" x14ac:dyDescent="0.25">
      <c r="B69" s="31">
        <v>8</v>
      </c>
      <c r="C69" s="32" t="s">
        <v>17</v>
      </c>
      <c r="D69" s="49">
        <f t="shared" si="6"/>
        <v>0.91658611408886159</v>
      </c>
      <c r="E69" s="85">
        <f t="shared" si="7"/>
        <v>51.881473066657591</v>
      </c>
      <c r="F69" s="90">
        <f t="shared" si="8"/>
        <v>52.798059180746449</v>
      </c>
      <c r="G69" s="88"/>
    </row>
    <row r="70" spans="2:7" x14ac:dyDescent="0.25">
      <c r="B70" s="31">
        <v>9</v>
      </c>
      <c r="C70" s="32" t="s">
        <v>18</v>
      </c>
      <c r="D70" s="49">
        <f t="shared" si="6"/>
        <v>1.7569770993741525</v>
      </c>
      <c r="E70" s="85">
        <f t="shared" si="7"/>
        <v>51.881473066657591</v>
      </c>
      <c r="F70" s="90">
        <f t="shared" si="8"/>
        <v>53.638450166031745</v>
      </c>
      <c r="G70" s="88"/>
    </row>
    <row r="71" spans="2:7" x14ac:dyDescent="0.25">
      <c r="B71" s="31">
        <v>10</v>
      </c>
      <c r="C71" s="32" t="s">
        <v>19</v>
      </c>
      <c r="D71" s="49">
        <f t="shared" si="6"/>
        <v>-1.1189999100703352</v>
      </c>
      <c r="E71" s="85">
        <f t="shared" si="7"/>
        <v>51.881473066657591</v>
      </c>
      <c r="F71" s="90">
        <f t="shared" si="8"/>
        <v>50.762473156587255</v>
      </c>
      <c r="G71" s="88"/>
    </row>
    <row r="72" spans="2:7" x14ac:dyDescent="0.25">
      <c r="B72" s="31">
        <v>11</v>
      </c>
      <c r="C72" s="32" t="s">
        <v>20</v>
      </c>
      <c r="D72" s="49">
        <f t="shared" si="6"/>
        <v>4.7717601678966606</v>
      </c>
      <c r="E72" s="85">
        <f t="shared" si="7"/>
        <v>51.881473066657591</v>
      </c>
      <c r="F72" s="90">
        <f t="shared" si="8"/>
        <v>56.65323323455425</v>
      </c>
      <c r="G72" s="88"/>
    </row>
    <row r="73" spans="2:7" x14ac:dyDescent="0.25">
      <c r="B73" s="31">
        <v>12</v>
      </c>
      <c r="C73" s="32" t="s">
        <v>21</v>
      </c>
      <c r="D73" s="49">
        <f t="shared" si="6"/>
        <v>7.5381835967006072</v>
      </c>
      <c r="E73" s="85">
        <f t="shared" si="7"/>
        <v>51.881473066657591</v>
      </c>
      <c r="F73" s="90">
        <f t="shared" si="8"/>
        <v>59.419656663358197</v>
      </c>
      <c r="G73" s="88"/>
    </row>
    <row r="74" spans="2:7" x14ac:dyDescent="0.25">
      <c r="B74" s="31">
        <v>13</v>
      </c>
      <c r="C74" s="32" t="s">
        <v>22</v>
      </c>
      <c r="D74" s="49">
        <f t="shared" si="6"/>
        <v>6.0429117446370118</v>
      </c>
      <c r="E74" s="85">
        <f t="shared" si="7"/>
        <v>51.881473066657591</v>
      </c>
      <c r="F74" s="90">
        <f t="shared" si="8"/>
        <v>57.924384811294601</v>
      </c>
      <c r="G74" s="88"/>
    </row>
    <row r="75" spans="2:7" x14ac:dyDescent="0.25">
      <c r="B75" s="42">
        <v>14</v>
      </c>
      <c r="C75" s="43" t="s">
        <v>23</v>
      </c>
      <c r="D75" s="49">
        <f t="shared" si="6"/>
        <v>5.2905516388277718</v>
      </c>
      <c r="E75" s="85">
        <f t="shared" si="7"/>
        <v>51.881473066657591</v>
      </c>
      <c r="F75" s="90">
        <f t="shared" si="8"/>
        <v>57.172024705485363</v>
      </c>
      <c r="G75" s="88"/>
    </row>
    <row r="76" spans="2:7" x14ac:dyDescent="0.25">
      <c r="B76" s="32"/>
      <c r="C76" s="44" t="s">
        <v>40</v>
      </c>
      <c r="D76" s="46"/>
      <c r="E76" s="86"/>
      <c r="F76" s="91"/>
    </row>
    <row r="78" spans="2:7" ht="15.75" x14ac:dyDescent="0.25">
      <c r="B78" s="29" t="s">
        <v>75</v>
      </c>
      <c r="C78" s="80"/>
      <c r="D78" s="79"/>
      <c r="E78" s="79"/>
      <c r="F78" s="79"/>
    </row>
    <row r="79" spans="2:7" ht="32.25" customHeight="1" x14ac:dyDescent="0.25">
      <c r="B79" s="61" t="s">
        <v>8</v>
      </c>
      <c r="C79" s="62"/>
      <c r="D79" s="89" t="s">
        <v>78</v>
      </c>
      <c r="E79" s="47" t="s">
        <v>64</v>
      </c>
      <c r="F79" s="89" t="s">
        <v>80</v>
      </c>
      <c r="G79" s="89" t="s">
        <v>79</v>
      </c>
    </row>
    <row r="80" spans="2:7" ht="33" customHeight="1" x14ac:dyDescent="0.25">
      <c r="B80" s="31">
        <v>1</v>
      </c>
      <c r="C80" s="32" t="s">
        <v>10</v>
      </c>
      <c r="D80" s="49">
        <f>F62</f>
        <v>21.261982154001885</v>
      </c>
      <c r="E80" s="92">
        <f>INDEX('Data Tables'!$D$7:$K$21,MATCH('Worked Example (pre TCR)'!$C80,'Data Tables'!$C$7:$C$20,0),MATCH('Worked Example (pre TCR)'!E$79,'Data Tables'!$D$6:$K$6,0))/10^3</f>
        <v>0.41614111459853187</v>
      </c>
      <c r="F80" s="90">
        <f>E80*10^6</f>
        <v>416141.11459853186</v>
      </c>
      <c r="G80" s="94">
        <f>F80*D80</f>
        <v>8847984.9521404374</v>
      </c>
    </row>
    <row r="81" spans="1:7" x14ac:dyDescent="0.25">
      <c r="B81" s="31">
        <v>2</v>
      </c>
      <c r="C81" s="32" t="s">
        <v>11</v>
      </c>
      <c r="D81" s="49">
        <f t="shared" ref="D81:D93" si="9">F63</f>
        <v>28.89893442765036</v>
      </c>
      <c r="E81" s="92">
        <f>INDEX('Data Tables'!$D$7:$K$21,MATCH('Worked Example (pre TCR)'!$C81,'Data Tables'!$C$7:$C$20,0),MATCH('Worked Example (pre TCR)'!E$79,'Data Tables'!$D$6:$K$6,0))/10^3</f>
        <v>1.159011580351339</v>
      </c>
      <c r="F81" s="90">
        <f t="shared" ref="F81:F93" si="10">E81*10^6</f>
        <v>1159011.580351339</v>
      </c>
      <c r="G81" s="94">
        <f t="shared" ref="G81:G94" si="11">F81*D81</f>
        <v>33494199.661460761</v>
      </c>
    </row>
    <row r="82" spans="1:7" ht="33" customHeight="1" x14ac:dyDescent="0.25">
      <c r="B82" s="31">
        <v>3</v>
      </c>
      <c r="C82" s="32" t="s">
        <v>12</v>
      </c>
      <c r="D82" s="49">
        <f t="shared" si="9"/>
        <v>40.16581485259745</v>
      </c>
      <c r="E82" s="92">
        <f>INDEX('Data Tables'!$D$7:$K$21,MATCH('Worked Example (pre TCR)'!$C82,'Data Tables'!$C$7:$C$20,0),MATCH('Worked Example (pre TCR)'!E$79,'Data Tables'!$D$6:$K$6,0))/10^3</f>
        <v>0.98178685876961658</v>
      </c>
      <c r="F82" s="90">
        <f t="shared" si="10"/>
        <v>981786.85876961658</v>
      </c>
      <c r="G82" s="94">
        <f t="shared" si="11"/>
        <v>39434269.194053657</v>
      </c>
    </row>
    <row r="83" spans="1:7" x14ac:dyDescent="0.25">
      <c r="B83" s="31">
        <v>4</v>
      </c>
      <c r="C83" s="32" t="s">
        <v>13</v>
      </c>
      <c r="D83" s="49">
        <f t="shared" si="9"/>
        <v>46.821545766151772</v>
      </c>
      <c r="E83" s="92">
        <f>INDEX('Data Tables'!$D$7:$K$21,MATCH('Worked Example (pre TCR)'!$C83,'Data Tables'!$C$7:$C$20,0),MATCH('Worked Example (pre TCR)'!E$79,'Data Tables'!$D$6:$K$6,0))/10^3</f>
        <v>1.3755941659039252</v>
      </c>
      <c r="F83" s="90">
        <f t="shared" si="10"/>
        <v>1375594.1659039252</v>
      </c>
      <c r="G83" s="94">
        <f t="shared" si="11"/>
        <v>64407445.194522008</v>
      </c>
    </row>
    <row r="84" spans="1:7" x14ac:dyDescent="0.25">
      <c r="B84" s="31">
        <v>5</v>
      </c>
      <c r="C84" s="32" t="s">
        <v>14</v>
      </c>
      <c r="D84" s="49">
        <f t="shared" si="9"/>
        <v>47.982082217431049</v>
      </c>
      <c r="E84" s="92">
        <f>INDEX('Data Tables'!$D$7:$K$21,MATCH('Worked Example (pre TCR)'!$C84,'Data Tables'!$C$7:$C$20,0),MATCH('Worked Example (pre TCR)'!E$79,'Data Tables'!$D$6:$K$6,0))/10^3</f>
        <v>1.491230816394433</v>
      </c>
      <c r="F84" s="90">
        <f t="shared" si="10"/>
        <v>1491230.8163944329</v>
      </c>
      <c r="G84" s="94">
        <f t="shared" si="11"/>
        <v>71552359.637404501</v>
      </c>
    </row>
    <row r="85" spans="1:7" x14ac:dyDescent="0.25">
      <c r="B85" s="31">
        <v>6</v>
      </c>
      <c r="C85" s="32" t="s">
        <v>15</v>
      </c>
      <c r="D85" s="49">
        <f t="shared" si="9"/>
        <v>49.052848779798602</v>
      </c>
      <c r="E85" s="92">
        <f>INDEX('Data Tables'!$D$7:$K$21,MATCH('Worked Example (pre TCR)'!$C85,'Data Tables'!$C$7:$C$20,0),MATCH('Worked Example (pre TCR)'!E$79,'Data Tables'!$D$6:$K$6,0))/10^3</f>
        <v>0.97587137246813094</v>
      </c>
      <c r="F85" s="90">
        <f t="shared" si="10"/>
        <v>975871.3724681309</v>
      </c>
      <c r="G85" s="94">
        <f t="shared" si="11"/>
        <v>47869270.862213738</v>
      </c>
    </row>
    <row r="86" spans="1:7" x14ac:dyDescent="0.25">
      <c r="A86" s="58" t="s">
        <v>51</v>
      </c>
      <c r="B86" s="31">
        <v>7</v>
      </c>
      <c r="C86" s="32" t="s">
        <v>16</v>
      </c>
      <c r="D86" s="49">
        <f t="shared" si="9"/>
        <v>51.53696391335626</v>
      </c>
      <c r="E86" s="92">
        <f>INDEX('Data Tables'!$D$7:$K$21,MATCH('Worked Example (pre TCR)'!$C86,'Data Tables'!$C$7:$C$20,0),MATCH('Worked Example (pre TCR)'!E$79,'Data Tables'!$D$6:$K$6,0))/10^3</f>
        <v>1.6761396968149262</v>
      </c>
      <c r="F86" s="90">
        <f t="shared" si="10"/>
        <v>1676139.6968149263</v>
      </c>
      <c r="G86" s="94">
        <f t="shared" si="11"/>
        <v>86383151.068494767</v>
      </c>
    </row>
    <row r="87" spans="1:7" x14ac:dyDescent="0.25">
      <c r="B87" s="31">
        <v>8</v>
      </c>
      <c r="C87" s="32" t="s">
        <v>17</v>
      </c>
      <c r="D87" s="49">
        <f t="shared" si="9"/>
        <v>52.798059180746449</v>
      </c>
      <c r="E87" s="92">
        <f>INDEX('Data Tables'!$D$7:$K$21,MATCH('Worked Example (pre TCR)'!$C87,'Data Tables'!$C$7:$C$20,0),MATCH('Worked Example (pre TCR)'!E$79,'Data Tables'!$D$6:$K$6,0))/10^3</f>
        <v>1.4944853605303248</v>
      </c>
      <c r="F87" s="90">
        <f t="shared" si="10"/>
        <v>1494485.3605303247</v>
      </c>
      <c r="G87" s="94">
        <f t="shared" si="11"/>
        <v>78905926.510039285</v>
      </c>
    </row>
    <row r="88" spans="1:7" x14ac:dyDescent="0.25">
      <c r="B88" s="31">
        <v>9</v>
      </c>
      <c r="C88" s="32" t="s">
        <v>18</v>
      </c>
      <c r="D88" s="49">
        <f t="shared" si="9"/>
        <v>53.638450166031745</v>
      </c>
      <c r="E88" s="92">
        <f>INDEX('Data Tables'!$D$7:$K$21,MATCH('Worked Example (pre TCR)'!$C88,'Data Tables'!$C$7:$C$20,0),MATCH('Worked Example (pre TCR)'!E$79,'Data Tables'!$D$6:$K$6,0))/10^3</f>
        <v>1.9689646687663362</v>
      </c>
      <c r="F88" s="90">
        <f t="shared" si="10"/>
        <v>1968964.6687663363</v>
      </c>
      <c r="G88" s="94">
        <f t="shared" si="11"/>
        <v>105612213.26430033</v>
      </c>
    </row>
    <row r="89" spans="1:7" x14ac:dyDescent="0.25">
      <c r="B89" s="31">
        <v>10</v>
      </c>
      <c r="C89" s="32" t="s">
        <v>19</v>
      </c>
      <c r="D89" s="49">
        <f t="shared" si="9"/>
        <v>50.762473156587255</v>
      </c>
      <c r="E89" s="92">
        <f>INDEX('Data Tables'!$D$7:$K$21,MATCH('Worked Example (pre TCR)'!$C89,'Data Tables'!$C$7:$C$20,0),MATCH('Worked Example (pre TCR)'!E$79,'Data Tables'!$D$6:$K$6,0))/10^3</f>
        <v>0.7568798455863972</v>
      </c>
      <c r="F89" s="90">
        <f t="shared" si="10"/>
        <v>756879.84558639722</v>
      </c>
      <c r="G89" s="94">
        <f t="shared" si="11"/>
        <v>38421092.844341397</v>
      </c>
    </row>
    <row r="90" spans="1:7" x14ac:dyDescent="0.25">
      <c r="B90" s="31">
        <v>11</v>
      </c>
      <c r="C90" s="32" t="s">
        <v>20</v>
      </c>
      <c r="D90" s="49">
        <f t="shared" si="9"/>
        <v>56.65323323455425</v>
      </c>
      <c r="E90" s="92">
        <f>INDEX('Data Tables'!$D$7:$K$21,MATCH('Worked Example (pre TCR)'!$C90,'Data Tables'!$C$7:$C$20,0),MATCH('Worked Example (pre TCR)'!E$79,'Data Tables'!$D$6:$K$6,0))/10^3</f>
        <v>1.0961280382935006</v>
      </c>
      <c r="F90" s="90">
        <f t="shared" si="10"/>
        <v>1096128.0382935007</v>
      </c>
      <c r="G90" s="94">
        <f t="shared" si="11"/>
        <v>62099197.408376105</v>
      </c>
    </row>
    <row r="91" spans="1:7" x14ac:dyDescent="0.25">
      <c r="B91" s="31">
        <v>12</v>
      </c>
      <c r="C91" s="32" t="s">
        <v>21</v>
      </c>
      <c r="D91" s="49">
        <f t="shared" si="9"/>
        <v>59.419656663358197</v>
      </c>
      <c r="E91" s="92">
        <f>INDEX('Data Tables'!$D$7:$K$21,MATCH('Worked Example (pre TCR)'!$C91,'Data Tables'!$C$7:$C$20,0),MATCH('Worked Example (pre TCR)'!E$79,'Data Tables'!$D$6:$K$6,0))/10^3</f>
        <v>2.1045728522134834</v>
      </c>
      <c r="F91" s="90">
        <f t="shared" si="10"/>
        <v>2104572.8522134833</v>
      </c>
      <c r="G91" s="94">
        <f t="shared" si="11"/>
        <v>125052996.30154967</v>
      </c>
    </row>
    <row r="92" spans="1:7" x14ac:dyDescent="0.25">
      <c r="B92" s="31">
        <v>13</v>
      </c>
      <c r="C92" s="32" t="s">
        <v>22</v>
      </c>
      <c r="D92" s="49">
        <f t="shared" si="9"/>
        <v>57.924384811294601</v>
      </c>
      <c r="E92" s="92">
        <f>INDEX('Data Tables'!$D$7:$K$21,MATCH('Worked Example (pre TCR)'!$C92,'Data Tables'!$C$7:$C$20,0),MATCH('Worked Example (pre TCR)'!E$79,'Data Tables'!$D$6:$K$6,0))/10^3</f>
        <v>1.9257689253900272</v>
      </c>
      <c r="F92" s="90">
        <f t="shared" si="10"/>
        <v>1925768.9253900272</v>
      </c>
      <c r="G92" s="94">
        <f t="shared" si="11"/>
        <v>111548980.29192522</v>
      </c>
    </row>
    <row r="93" spans="1:7" x14ac:dyDescent="0.25">
      <c r="B93" s="42">
        <v>14</v>
      </c>
      <c r="C93" s="43" t="s">
        <v>23</v>
      </c>
      <c r="D93" s="49">
        <f t="shared" si="9"/>
        <v>57.172024705485363</v>
      </c>
      <c r="E93" s="92">
        <f>INDEX('Data Tables'!$D$7:$K$21,MATCH('Worked Example (pre TCR)'!$C93,'Data Tables'!$C$7:$C$20,0),MATCH('Worked Example (pre TCR)'!E$79,'Data Tables'!$D$6:$K$6,0))/10^3</f>
        <v>0.69612244391902645</v>
      </c>
      <c r="F93" s="90">
        <f t="shared" si="10"/>
        <v>696122.44391902641</v>
      </c>
      <c r="G93" s="94">
        <f t="shared" si="11"/>
        <v>39798729.561781429</v>
      </c>
    </row>
    <row r="94" spans="1:7" x14ac:dyDescent="0.25">
      <c r="B94" s="32"/>
      <c r="C94" s="44" t="s">
        <v>40</v>
      </c>
      <c r="D94" s="46"/>
      <c r="E94" s="92"/>
      <c r="F94" s="93"/>
      <c r="G94" s="94"/>
    </row>
    <row r="95" spans="1:7" x14ac:dyDescent="0.25">
      <c r="C95" s="27"/>
    </row>
    <row r="96" spans="1:7" ht="15.75" x14ac:dyDescent="0.25">
      <c r="B96" s="29" t="s">
        <v>81</v>
      </c>
      <c r="C96" s="27"/>
    </row>
    <row r="97" spans="2:7" x14ac:dyDescent="0.25">
      <c r="B97" t="s">
        <v>82</v>
      </c>
      <c r="C97" s="28">
        <f>SUM(G80:G93)</f>
        <v>913427816.75260317</v>
      </c>
    </row>
    <row r="98" spans="2:7" x14ac:dyDescent="0.25">
      <c r="C98" s="60"/>
    </row>
    <row r="99" spans="2:7" ht="15.75" x14ac:dyDescent="0.25">
      <c r="B99" s="29" t="s">
        <v>83</v>
      </c>
    </row>
    <row r="100" spans="2:7" ht="60" x14ac:dyDescent="0.25">
      <c r="B100" s="61" t="s">
        <v>8</v>
      </c>
      <c r="C100" s="62"/>
      <c r="D100" s="89" t="s">
        <v>86</v>
      </c>
      <c r="E100" s="47" t="s">
        <v>84</v>
      </c>
      <c r="F100" s="89" t="s">
        <v>85</v>
      </c>
      <c r="G100" s="87"/>
    </row>
    <row r="101" spans="2:7" x14ac:dyDescent="0.25">
      <c r="B101" s="31">
        <v>1</v>
      </c>
      <c r="C101" s="32" t="s">
        <v>10</v>
      </c>
      <c r="D101" s="49">
        <f>D80*(H13*10^6)</f>
        <v>31255113.766382769</v>
      </c>
      <c r="E101" s="96">
        <f>G80</f>
        <v>8847984.9521404374</v>
      </c>
      <c r="F101" s="94">
        <f>D101-E101</f>
        <v>22407128.814242333</v>
      </c>
      <c r="G101" s="97"/>
    </row>
    <row r="102" spans="2:7" x14ac:dyDescent="0.25">
      <c r="B102" s="31">
        <v>2</v>
      </c>
      <c r="C102" s="32" t="s">
        <v>11</v>
      </c>
      <c r="D102" s="49">
        <f t="shared" ref="D102:D114" si="12">D81*(H14*10^6)</f>
        <v>97100419.676905215</v>
      </c>
      <c r="E102" s="96">
        <f t="shared" ref="E102:E114" si="13">G81</f>
        <v>33494199.661460761</v>
      </c>
      <c r="F102" s="94">
        <f t="shared" ref="F102:F114" si="14">D102-E102</f>
        <v>63606220.015444458</v>
      </c>
      <c r="G102" s="97"/>
    </row>
    <row r="103" spans="2:7" x14ac:dyDescent="0.25">
      <c r="B103" s="31">
        <v>3</v>
      </c>
      <c r="C103" s="32" t="s">
        <v>12</v>
      </c>
      <c r="D103" s="49">
        <f t="shared" si="12"/>
        <v>100816195.2800196</v>
      </c>
      <c r="E103" s="96">
        <f t="shared" si="13"/>
        <v>39434269.194053657</v>
      </c>
      <c r="F103" s="94">
        <f t="shared" si="14"/>
        <v>61381926.085965939</v>
      </c>
      <c r="G103" s="97"/>
    </row>
    <row r="104" spans="2:7" x14ac:dyDescent="0.25">
      <c r="B104" s="31">
        <v>4</v>
      </c>
      <c r="C104" s="32" t="s">
        <v>13</v>
      </c>
      <c r="D104" s="49">
        <f t="shared" si="12"/>
        <v>184945105.77629951</v>
      </c>
      <c r="E104" s="96">
        <f t="shared" si="13"/>
        <v>64407445.194522008</v>
      </c>
      <c r="F104" s="94">
        <f t="shared" si="14"/>
        <v>120537660.5817775</v>
      </c>
      <c r="G104" s="97"/>
    </row>
    <row r="105" spans="2:7" x14ac:dyDescent="0.25">
      <c r="B105" s="31">
        <v>5</v>
      </c>
      <c r="C105" s="32" t="s">
        <v>14</v>
      </c>
      <c r="D105" s="49">
        <f t="shared" si="12"/>
        <v>180892449.95971507</v>
      </c>
      <c r="E105" s="96">
        <f t="shared" si="13"/>
        <v>71552359.637404501</v>
      </c>
      <c r="F105" s="94">
        <f t="shared" si="14"/>
        <v>109340090.32231057</v>
      </c>
      <c r="G105" s="97"/>
    </row>
    <row r="106" spans="2:7" x14ac:dyDescent="0.25">
      <c r="B106" s="31">
        <v>6</v>
      </c>
      <c r="C106" s="32" t="s">
        <v>15</v>
      </c>
      <c r="D106" s="49">
        <f t="shared" si="12"/>
        <v>126065821.36408241</v>
      </c>
      <c r="E106" s="96">
        <f t="shared" si="13"/>
        <v>47869270.862213738</v>
      </c>
      <c r="F106" s="94">
        <f t="shared" si="14"/>
        <v>78196550.501868665</v>
      </c>
      <c r="G106" s="97"/>
    </row>
    <row r="107" spans="2:7" x14ac:dyDescent="0.25">
      <c r="B107" s="31">
        <v>7</v>
      </c>
      <c r="C107" s="32" t="s">
        <v>16</v>
      </c>
      <c r="D107" s="49">
        <f t="shared" si="12"/>
        <v>236554664.36230522</v>
      </c>
      <c r="E107" s="96">
        <f t="shared" si="13"/>
        <v>86383151.068494767</v>
      </c>
      <c r="F107" s="94">
        <f t="shared" si="14"/>
        <v>150171513.29381046</v>
      </c>
      <c r="G107" s="97"/>
    </row>
    <row r="108" spans="2:7" x14ac:dyDescent="0.25">
      <c r="B108" s="31">
        <v>8</v>
      </c>
      <c r="C108" s="32" t="s">
        <v>17</v>
      </c>
      <c r="D108" s="49">
        <f t="shared" si="12"/>
        <v>220167906.78371269</v>
      </c>
      <c r="E108" s="96">
        <f t="shared" si="13"/>
        <v>78905926.510039285</v>
      </c>
      <c r="F108" s="94">
        <f t="shared" si="14"/>
        <v>141261980.27367342</v>
      </c>
      <c r="G108" s="97"/>
    </row>
    <row r="109" spans="2:7" x14ac:dyDescent="0.25">
      <c r="B109" s="31">
        <v>9</v>
      </c>
      <c r="C109" s="32" t="s">
        <v>18</v>
      </c>
      <c r="D109" s="49">
        <f t="shared" si="12"/>
        <v>340067774.05264127</v>
      </c>
      <c r="E109" s="96">
        <f t="shared" si="13"/>
        <v>105612213.26430033</v>
      </c>
      <c r="F109" s="94">
        <f t="shared" si="14"/>
        <v>234455560.78834093</v>
      </c>
      <c r="G109" s="97"/>
    </row>
    <row r="110" spans="2:7" x14ac:dyDescent="0.25">
      <c r="B110" s="31">
        <v>10</v>
      </c>
      <c r="C110" s="32" t="s">
        <v>19</v>
      </c>
      <c r="D110" s="49">
        <f t="shared" si="12"/>
        <v>90357202.218725309</v>
      </c>
      <c r="E110" s="96">
        <f t="shared" si="13"/>
        <v>38421092.844341397</v>
      </c>
      <c r="F110" s="94">
        <f t="shared" si="14"/>
        <v>51936109.374383911</v>
      </c>
      <c r="G110" s="97"/>
    </row>
    <row r="111" spans="2:7" x14ac:dyDescent="0.25">
      <c r="B111" s="31">
        <v>11</v>
      </c>
      <c r="C111" s="32" t="s">
        <v>20</v>
      </c>
      <c r="D111" s="49">
        <f t="shared" si="12"/>
        <v>216981883.28834277</v>
      </c>
      <c r="E111" s="96">
        <f t="shared" si="13"/>
        <v>62099197.408376105</v>
      </c>
      <c r="F111" s="94">
        <f t="shared" si="14"/>
        <v>154882685.87996668</v>
      </c>
      <c r="G111" s="97"/>
    </row>
    <row r="112" spans="2:7" x14ac:dyDescent="0.25">
      <c r="B112" s="31">
        <v>12</v>
      </c>
      <c r="C112" s="32" t="s">
        <v>21</v>
      </c>
      <c r="D112" s="49">
        <f t="shared" si="12"/>
        <v>244808985.45303577</v>
      </c>
      <c r="E112" s="96">
        <f t="shared" si="13"/>
        <v>125052996.30154967</v>
      </c>
      <c r="F112" s="94">
        <f t="shared" si="14"/>
        <v>119755989.1514861</v>
      </c>
      <c r="G112" s="97"/>
    </row>
    <row r="113" spans="2:8" x14ac:dyDescent="0.25">
      <c r="B113" s="31">
        <v>13</v>
      </c>
      <c r="C113" s="32" t="s">
        <v>22</v>
      </c>
      <c r="D113" s="49">
        <f t="shared" si="12"/>
        <v>312212434.13287789</v>
      </c>
      <c r="E113" s="96">
        <f t="shared" si="13"/>
        <v>111548980.29192522</v>
      </c>
      <c r="F113" s="94">
        <f t="shared" si="14"/>
        <v>200663453.84095266</v>
      </c>
      <c r="G113" s="97"/>
    </row>
    <row r="114" spans="2:8" x14ac:dyDescent="0.25">
      <c r="B114" s="95">
        <v>14</v>
      </c>
      <c r="C114" s="93" t="s">
        <v>23</v>
      </c>
      <c r="D114" s="49">
        <f t="shared" si="12"/>
        <v>145788662.99898767</v>
      </c>
      <c r="E114" s="96">
        <f t="shared" si="13"/>
        <v>39798729.561781429</v>
      </c>
      <c r="F114" s="94">
        <f t="shared" si="14"/>
        <v>105989933.43720624</v>
      </c>
      <c r="G114" s="97"/>
    </row>
    <row r="115" spans="2:8" x14ac:dyDescent="0.25">
      <c r="D115" s="28">
        <f>SUM(D101:D114)</f>
        <v>2528014619.1140332</v>
      </c>
    </row>
    <row r="116" spans="2:8" x14ac:dyDescent="0.25">
      <c r="D116" s="28" t="b">
        <f>C9+C4=D115</f>
        <v>1</v>
      </c>
    </row>
    <row r="118" spans="2:8" ht="15.75" x14ac:dyDescent="0.25">
      <c r="B118" s="29" t="s">
        <v>87</v>
      </c>
    </row>
    <row r="119" spans="2:8" ht="45" x14ac:dyDescent="0.25">
      <c r="B119" s="61" t="s">
        <v>8</v>
      </c>
      <c r="C119" s="62"/>
      <c r="D119" s="89" t="s">
        <v>85</v>
      </c>
      <c r="E119" s="47" t="s">
        <v>35</v>
      </c>
      <c r="F119" s="47" t="s">
        <v>89</v>
      </c>
      <c r="G119" s="89" t="s">
        <v>88</v>
      </c>
      <c r="H119" s="99"/>
    </row>
    <row r="120" spans="2:8" x14ac:dyDescent="0.25">
      <c r="B120" s="31">
        <v>1</v>
      </c>
      <c r="C120" s="32" t="s">
        <v>10</v>
      </c>
      <c r="D120" s="49">
        <f>F101</f>
        <v>22407128.814242333</v>
      </c>
      <c r="E120" s="92">
        <f>INDEX('Data Tables'!$D$7:$K$21,MATCH('Worked Example (pre TCR)'!$C120,'Data Tables'!$C$7:$C$20,0),MATCH('Worked Example (pre TCR)'!E$119,'Data Tables'!$D$6:$K$6,0))</f>
        <v>0.78396292555975933</v>
      </c>
      <c r="F120" s="90">
        <f>E120*10^9</f>
        <v>783962925.55975938</v>
      </c>
      <c r="G120" s="98">
        <f>(D120/F120)*100</f>
        <v>2.8581873049983022</v>
      </c>
      <c r="H120" s="100"/>
    </row>
    <row r="121" spans="2:8" x14ac:dyDescent="0.25">
      <c r="B121" s="31">
        <v>2</v>
      </c>
      <c r="C121" s="32" t="s">
        <v>11</v>
      </c>
      <c r="D121" s="49">
        <f t="shared" ref="D121:D133" si="15">F102</f>
        <v>63606220.015444458</v>
      </c>
      <c r="E121" s="92">
        <f>INDEX('Data Tables'!$D$7:$K$21,MATCH('Worked Example (pre TCR)'!$C121,'Data Tables'!$C$7:$C$20,0),MATCH('Worked Example (pre TCR)'!E$119,'Data Tables'!$D$6:$K$6,0))</f>
        <v>1.7161040013352449</v>
      </c>
      <c r="F121" s="90">
        <f t="shared" ref="F121:F133" si="16">E121*10^9</f>
        <v>1716104001.3352449</v>
      </c>
      <c r="G121" s="98">
        <f t="shared" ref="G121:G133" si="17">(D121/F121)*100</f>
        <v>3.7064315429574499</v>
      </c>
      <c r="H121" s="100"/>
    </row>
    <row r="122" spans="2:8" x14ac:dyDescent="0.25">
      <c r="B122" s="31">
        <v>3</v>
      </c>
      <c r="C122" s="32" t="s">
        <v>12</v>
      </c>
      <c r="D122" s="49">
        <f t="shared" si="15"/>
        <v>61381926.085965939</v>
      </c>
      <c r="E122" s="92">
        <f>INDEX('Data Tables'!$D$7:$K$21,MATCH('Worked Example (pre TCR)'!$C122,'Data Tables'!$C$7:$C$20,0),MATCH('Worked Example (pre TCR)'!E$119,'Data Tables'!$D$6:$K$6,0))</f>
        <v>1.2155985985422018</v>
      </c>
      <c r="F122" s="90">
        <f t="shared" si="16"/>
        <v>1215598598.5422018</v>
      </c>
      <c r="G122" s="98">
        <f t="shared" si="17"/>
        <v>5.0495226104717288</v>
      </c>
      <c r="H122" s="100"/>
    </row>
    <row r="123" spans="2:8" x14ac:dyDescent="0.25">
      <c r="B123" s="31">
        <v>4</v>
      </c>
      <c r="C123" s="32" t="s">
        <v>13</v>
      </c>
      <c r="D123" s="49">
        <f t="shared" si="15"/>
        <v>120537660.5817775</v>
      </c>
      <c r="E123" s="92">
        <f>INDEX('Data Tables'!$D$7:$K$21,MATCH('Worked Example (pre TCR)'!$C123,'Data Tables'!$C$7:$C$20,0),MATCH('Worked Example (pre TCR)'!E$119,'Data Tables'!$D$6:$K$6,0))</f>
        <v>2.0030922732591225</v>
      </c>
      <c r="F123" s="90">
        <f t="shared" si="16"/>
        <v>2003092273.2591226</v>
      </c>
      <c r="G123" s="98">
        <f t="shared" si="17"/>
        <v>6.0175790297297294</v>
      </c>
      <c r="H123" s="100"/>
    </row>
    <row r="124" spans="2:8" x14ac:dyDescent="0.25">
      <c r="B124" s="31">
        <v>5</v>
      </c>
      <c r="C124" s="32" t="s">
        <v>14</v>
      </c>
      <c r="D124" s="49">
        <f t="shared" si="15"/>
        <v>109340090.32231057</v>
      </c>
      <c r="E124" s="92">
        <f>INDEX('Data Tables'!$D$7:$K$21,MATCH('Worked Example (pre TCR)'!$C124,'Data Tables'!$C$7:$C$20,0),MATCH('Worked Example (pre TCR)'!E$119,'Data Tables'!$D$6:$K$6,0))</f>
        <v>1.8281020333130364</v>
      </c>
      <c r="F124" s="90">
        <f t="shared" si="16"/>
        <v>1828102033.3130364</v>
      </c>
      <c r="G124" s="98">
        <f t="shared" si="17"/>
        <v>5.9810715337456024</v>
      </c>
      <c r="H124" s="100"/>
    </row>
    <row r="125" spans="2:8" x14ac:dyDescent="0.25">
      <c r="B125" s="31">
        <v>6</v>
      </c>
      <c r="C125" s="32" t="s">
        <v>15</v>
      </c>
      <c r="D125" s="49">
        <f t="shared" si="15"/>
        <v>78196550.501868665</v>
      </c>
      <c r="E125" s="92">
        <f>INDEX('Data Tables'!$D$7:$K$21,MATCH('Worked Example (pre TCR)'!$C125,'Data Tables'!$C$7:$C$20,0),MATCH('Worked Example (pre TCR)'!E$119,'Data Tables'!$D$6:$K$6,0))</f>
        <v>1.274585619554172</v>
      </c>
      <c r="F125" s="90">
        <f t="shared" si="16"/>
        <v>1274585619.554172</v>
      </c>
      <c r="G125" s="98">
        <f t="shared" si="17"/>
        <v>6.1350567040934028</v>
      </c>
      <c r="H125" s="100"/>
    </row>
    <row r="126" spans="2:8" x14ac:dyDescent="0.25">
      <c r="B126" s="31">
        <v>7</v>
      </c>
      <c r="C126" s="32" t="s">
        <v>16</v>
      </c>
      <c r="D126" s="49">
        <f t="shared" si="15"/>
        <v>150171513.29381046</v>
      </c>
      <c r="E126" s="92">
        <f>INDEX('Data Tables'!$D$7:$K$21,MATCH('Worked Example (pre TCR)'!$C126,'Data Tables'!$C$7:$C$20,0),MATCH('Worked Example (pre TCR)'!E$119,'Data Tables'!$D$6:$K$6,0))</f>
        <v>2.2713699044785209</v>
      </c>
      <c r="F126" s="90">
        <f t="shared" si="16"/>
        <v>2271369904.4785209</v>
      </c>
      <c r="G126" s="98">
        <f t="shared" si="17"/>
        <v>6.6114952477671407</v>
      </c>
      <c r="H126" s="100"/>
    </row>
    <row r="127" spans="2:8" x14ac:dyDescent="0.25">
      <c r="B127" s="31">
        <v>8</v>
      </c>
      <c r="C127" s="32" t="s">
        <v>17</v>
      </c>
      <c r="D127" s="49">
        <f t="shared" si="15"/>
        <v>141261980.27367342</v>
      </c>
      <c r="E127" s="92">
        <f>INDEX('Data Tables'!$D$7:$K$21,MATCH('Worked Example (pre TCR)'!$C127,'Data Tables'!$C$7:$C$20,0),MATCH('Worked Example (pre TCR)'!E$119,'Data Tables'!$D$6:$K$6,0))</f>
        <v>2.0592835000974561</v>
      </c>
      <c r="F127" s="90">
        <f t="shared" si="16"/>
        <v>2059283500.097456</v>
      </c>
      <c r="G127" s="98">
        <f t="shared" si="17"/>
        <v>6.8597636152083075</v>
      </c>
      <c r="H127" s="100"/>
    </row>
    <row r="128" spans="2:8" x14ac:dyDescent="0.25">
      <c r="B128" s="31">
        <v>9</v>
      </c>
      <c r="C128" s="32" t="s">
        <v>18</v>
      </c>
      <c r="D128" s="49">
        <f t="shared" si="15"/>
        <v>234455560.78834093</v>
      </c>
      <c r="E128" s="92">
        <f>INDEX('Data Tables'!$D$7:$K$21,MATCH('Worked Example (pre TCR)'!$C128,'Data Tables'!$C$7:$C$20,0),MATCH('Worked Example (pre TCR)'!E$119,'Data Tables'!$D$6:$K$6,0))</f>
        <v>3.2163959907504638</v>
      </c>
      <c r="F128" s="90">
        <f t="shared" si="16"/>
        <v>3216395990.750464</v>
      </c>
      <c r="G128" s="98">
        <f t="shared" si="17"/>
        <v>7.2893872975397134</v>
      </c>
      <c r="H128" s="100"/>
    </row>
    <row r="129" spans="2:8" x14ac:dyDescent="0.25">
      <c r="B129" s="31">
        <v>10</v>
      </c>
      <c r="C129" s="32" t="s">
        <v>19</v>
      </c>
      <c r="D129" s="49">
        <f t="shared" si="15"/>
        <v>51936109.374383911</v>
      </c>
      <c r="E129" s="92">
        <f>INDEX('Data Tables'!$D$7:$K$21,MATCH('Worked Example (pre TCR)'!$C129,'Data Tables'!$C$7:$C$20,0),MATCH('Worked Example (pre TCR)'!E$119,'Data Tables'!$D$6:$K$6,0))</f>
        <v>0.870643135071964</v>
      </c>
      <c r="F129" s="90">
        <f t="shared" si="16"/>
        <v>870643135.07196403</v>
      </c>
      <c r="G129" s="98">
        <f t="shared" si="17"/>
        <v>5.9652580124106844</v>
      </c>
      <c r="H129" s="100"/>
    </row>
    <row r="130" spans="2:8" x14ac:dyDescent="0.25">
      <c r="B130" s="31">
        <v>11</v>
      </c>
      <c r="C130" s="32" t="s">
        <v>20</v>
      </c>
      <c r="D130" s="49">
        <f t="shared" si="15"/>
        <v>154882685.87996668</v>
      </c>
      <c r="E130" s="92">
        <f>INDEX('Data Tables'!$D$7:$K$21,MATCH('Worked Example (pre TCR)'!$C130,'Data Tables'!$C$7:$C$20,0),MATCH('Worked Example (pre TCR)'!E$119,'Data Tables'!$D$6:$K$6,0))</f>
        <v>1.9868004181200176</v>
      </c>
      <c r="F130" s="90">
        <f t="shared" si="16"/>
        <v>1986800418.1200175</v>
      </c>
      <c r="G130" s="98">
        <f t="shared" si="17"/>
        <v>7.7955835154555828</v>
      </c>
      <c r="H130" s="100"/>
    </row>
    <row r="131" spans="2:8" x14ac:dyDescent="0.25">
      <c r="B131" s="31">
        <v>12</v>
      </c>
      <c r="C131" s="32" t="s">
        <v>21</v>
      </c>
      <c r="D131" s="49">
        <f t="shared" si="15"/>
        <v>119755989.1514861</v>
      </c>
      <c r="E131" s="92">
        <f>INDEX('Data Tables'!$D$7:$K$21,MATCH('Worked Example (pre TCR)'!$C131,'Data Tables'!$C$7:$C$20,0),MATCH('Worked Example (pre TCR)'!E$119,'Data Tables'!$D$6:$K$6,0))</f>
        <v>1.8792216471598735</v>
      </c>
      <c r="F131" s="90">
        <f t="shared" si="16"/>
        <v>1879221647.1598735</v>
      </c>
      <c r="G131" s="98">
        <f t="shared" si="17"/>
        <v>6.3726378063214142</v>
      </c>
      <c r="H131" s="100"/>
    </row>
    <row r="132" spans="2:8" x14ac:dyDescent="0.25">
      <c r="B132" s="31">
        <v>13</v>
      </c>
      <c r="C132" s="32" t="s">
        <v>22</v>
      </c>
      <c r="D132" s="49">
        <f t="shared" si="15"/>
        <v>200663453.84095266</v>
      </c>
      <c r="E132" s="92">
        <f>INDEX('Data Tables'!$D$7:$K$21,MATCH('Worked Example (pre TCR)'!$C132,'Data Tables'!$C$7:$C$20,0),MATCH('Worked Example (pre TCR)'!E$119,'Data Tables'!$D$6:$K$6,0))</f>
        <v>2.6761765435234901</v>
      </c>
      <c r="F132" s="90">
        <f t="shared" si="16"/>
        <v>2676176543.52349</v>
      </c>
      <c r="G132" s="98">
        <f t="shared" si="17"/>
        <v>7.4981396248528673</v>
      </c>
      <c r="H132" s="100"/>
    </row>
    <row r="133" spans="2:8" x14ac:dyDescent="0.25">
      <c r="B133" s="95">
        <v>14</v>
      </c>
      <c r="C133" s="93" t="s">
        <v>23</v>
      </c>
      <c r="D133" s="49">
        <f t="shared" si="15"/>
        <v>105989933.43720624</v>
      </c>
      <c r="E133" s="92">
        <f>INDEX('Data Tables'!$D$7:$K$21,MATCH('Worked Example (pre TCR)'!$C133,'Data Tables'!$C$7:$C$20,0),MATCH('Worked Example (pre TCR)'!E$119,'Data Tables'!$D$6:$K$6,0))</f>
        <v>1.3450809342346726</v>
      </c>
      <c r="F133" s="90">
        <f t="shared" si="16"/>
        <v>1345080934.2346725</v>
      </c>
      <c r="G133" s="98">
        <f t="shared" si="17"/>
        <v>7.8798182874781926</v>
      </c>
      <c r="H133" s="100"/>
    </row>
  </sheetData>
  <mergeCells count="2">
    <mergeCell ref="B12:C12"/>
    <mergeCell ref="B31:C3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4"/>
  <sheetViews>
    <sheetView topLeftCell="A76" workbookViewId="0">
      <selection activeCell="H7" sqref="H7"/>
    </sheetView>
  </sheetViews>
  <sheetFormatPr defaultRowHeight="15" x14ac:dyDescent="0.25"/>
  <cols>
    <col min="2" max="2" width="26.28515625" bestFit="1" customWidth="1"/>
    <col min="3" max="3" width="18" bestFit="1" customWidth="1"/>
    <col min="4" max="4" width="16.140625" customWidth="1"/>
    <col min="5" max="5" width="15.5703125" customWidth="1"/>
    <col min="6" max="6" width="14.85546875" customWidth="1"/>
    <col min="7" max="7" width="18.42578125" customWidth="1"/>
    <col min="8" max="8" width="17.28515625" customWidth="1"/>
    <col min="9" max="9" width="15.28515625" bestFit="1" customWidth="1"/>
  </cols>
  <sheetData>
    <row r="2" spans="2:9" x14ac:dyDescent="0.25">
      <c r="B2" t="s">
        <v>55</v>
      </c>
    </row>
    <row r="3" spans="2:9" x14ac:dyDescent="0.25">
      <c r="B3" t="s">
        <v>26</v>
      </c>
      <c r="C3" s="41">
        <v>2837000000</v>
      </c>
    </row>
    <row r="4" spans="2:9" x14ac:dyDescent="0.25">
      <c r="B4" t="s">
        <v>27</v>
      </c>
      <c r="C4" s="41">
        <v>111000000</v>
      </c>
    </row>
    <row r="6" spans="2:9" x14ac:dyDescent="0.25">
      <c r="B6" t="s">
        <v>28</v>
      </c>
      <c r="C6" s="41">
        <v>403500000</v>
      </c>
    </row>
    <row r="9" spans="2:9" ht="15.75" x14ac:dyDescent="0.25">
      <c r="B9" s="29" t="s">
        <v>57</v>
      </c>
      <c r="C9" s="30">
        <f>(C3+C4)-C6</f>
        <v>2544500000</v>
      </c>
      <c r="D9" t="s">
        <v>29</v>
      </c>
    </row>
    <row r="11" spans="2:9" ht="15.75" x14ac:dyDescent="0.25">
      <c r="B11" s="29" t="s">
        <v>58</v>
      </c>
    </row>
    <row r="12" spans="2:9" ht="48.75" customHeight="1" x14ac:dyDescent="0.25">
      <c r="B12" s="71" t="s">
        <v>8</v>
      </c>
      <c r="C12" s="71"/>
      <c r="D12" s="36" t="s">
        <v>30</v>
      </c>
      <c r="E12" s="37" t="s">
        <v>31</v>
      </c>
      <c r="F12" s="47" t="s">
        <v>33</v>
      </c>
      <c r="G12" s="47" t="s">
        <v>38</v>
      </c>
      <c r="H12" s="47" t="s">
        <v>36</v>
      </c>
      <c r="I12" s="47" t="s">
        <v>39</v>
      </c>
    </row>
    <row r="13" spans="2:9" x14ac:dyDescent="0.25">
      <c r="B13" s="31">
        <v>1</v>
      </c>
      <c r="C13" s="32" t="s">
        <v>10</v>
      </c>
      <c r="D13" s="48">
        <f>INDEX('Data Tables'!$D$7:$J$21,MATCH('Worked Example (post TCR)'!$C13,'Data Tables'!$C$7:$C$20,0),MATCH('Worked Example (post TCR)'!D$12,'Data Tables'!$D$6:$J$6,0))</f>
        <v>-2.1816911980665044</v>
      </c>
      <c r="E13" s="48">
        <f>INDEX('Data Tables'!$D$7:$J$21,MATCH('Worked Example (post TCR)'!$C13,'Data Tables'!$C$7:$C$20,0),MATCH('Worked Example (post TCR)'!E$12,'Data Tables'!$D$6:$J$6,0))</f>
        <v>-28.437799714589204</v>
      </c>
      <c r="F13" s="49">
        <f>D13+E13</f>
        <v>-30.619490912655706</v>
      </c>
      <c r="G13" s="49">
        <f>F13*10^6</f>
        <v>-30619490.912655707</v>
      </c>
      <c r="H13" s="50">
        <f>INDEX('Data Tables'!$D$7:$J$21,MATCH('Worked Example (post TCR)'!$C13,'Data Tables'!$C$7:$C$20,0),MATCH('Worked Example (post TCR)'!H$12,'Data Tables'!$D$6:$J$6,0))</f>
        <v>1.47</v>
      </c>
      <c r="I13" s="49">
        <f>H13*G13</f>
        <v>-45010651.641603887</v>
      </c>
    </row>
    <row r="14" spans="2:9" x14ac:dyDescent="0.25">
      <c r="B14" s="31">
        <v>2</v>
      </c>
      <c r="C14" s="32" t="s">
        <v>11</v>
      </c>
      <c r="D14" s="48">
        <f>INDEX('Data Tables'!$D$7:$J$21,MATCH('Worked Example (post TCR)'!$C14,'Data Tables'!$C$7:$C$20,0),MATCH('Worked Example (post TCR)'!D$12,'Data Tables'!$D$6:$J$6,0))</f>
        <v>-2.1467882916375296</v>
      </c>
      <c r="E14" s="48">
        <f>INDEX('Data Tables'!$D$7:$J$21,MATCH('Worked Example (post TCR)'!$C14,'Data Tables'!$C$7:$C$20,0),MATCH('Worked Example (post TCR)'!E$12,'Data Tables'!$D$6:$J$6,0))</f>
        <v>-20.8357503473697</v>
      </c>
      <c r="F14" s="49">
        <f t="shared" ref="F14:F26" si="0">D14+E14</f>
        <v>-22.982538639007231</v>
      </c>
      <c r="G14" s="49">
        <f t="shared" ref="G14:G26" si="1">F14*10^6</f>
        <v>-22982538.639007229</v>
      </c>
      <c r="H14" s="50">
        <f>INDEX('Data Tables'!$D$7:$J$21,MATCH('Worked Example (post TCR)'!$C14,'Data Tables'!$C$7:$C$20,0),MATCH('Worked Example (post TCR)'!H$12,'Data Tables'!$D$6:$J$6,0))</f>
        <v>3.36</v>
      </c>
      <c r="I14" s="49">
        <f t="shared" ref="I14:I26" si="2">H14*G14</f>
        <v>-77221329.827064291</v>
      </c>
    </row>
    <row r="15" spans="2:9" x14ac:dyDescent="0.25">
      <c r="B15" s="31">
        <v>3</v>
      </c>
      <c r="C15" s="32" t="s">
        <v>12</v>
      </c>
      <c r="D15" s="48">
        <f>INDEX('Data Tables'!$D$7:$J$21,MATCH('Worked Example (post TCR)'!$C15,'Data Tables'!$C$7:$C$20,0),MATCH('Worked Example (post TCR)'!D$12,'Data Tables'!$D$6:$J$6,0))</f>
        <v>-3.6192884308827087</v>
      </c>
      <c r="E15" s="48">
        <f>INDEX('Data Tables'!$D$7:$J$21,MATCH('Worked Example (post TCR)'!$C15,'Data Tables'!$C$7:$C$20,0),MATCH('Worked Example (post TCR)'!E$12,'Data Tables'!$D$6:$J$6,0))</f>
        <v>-8.0963697831774333</v>
      </c>
      <c r="F15" s="49">
        <f t="shared" si="0"/>
        <v>-11.715658214060142</v>
      </c>
      <c r="G15" s="49">
        <f t="shared" si="1"/>
        <v>-11715658.214060141</v>
      </c>
      <c r="H15" s="50">
        <f>INDEX('Data Tables'!$D$7:$J$21,MATCH('Worked Example (post TCR)'!$C15,'Data Tables'!$C$7:$C$20,0),MATCH('Worked Example (post TCR)'!H$12,'Data Tables'!$D$6:$J$6,0))</f>
        <v>2.5099999999999998</v>
      </c>
      <c r="I15" s="49">
        <f t="shared" si="2"/>
        <v>-29406302.117290951</v>
      </c>
    </row>
    <row r="16" spans="2:9" x14ac:dyDescent="0.25">
      <c r="B16" s="31">
        <v>4</v>
      </c>
      <c r="C16" s="32" t="s">
        <v>13</v>
      </c>
      <c r="D16" s="48">
        <f>INDEX('Data Tables'!$D$7:$J$21,MATCH('Worked Example (post TCR)'!$C16,'Data Tables'!$C$7:$C$20,0),MATCH('Worked Example (post TCR)'!D$12,'Data Tables'!$D$6:$J$6,0))</f>
        <v>-1.6905020185892174</v>
      </c>
      <c r="E16" s="48">
        <f>INDEX('Data Tables'!$D$7:$J$21,MATCH('Worked Example (post TCR)'!$C16,'Data Tables'!$C$7:$C$20,0),MATCH('Worked Example (post TCR)'!E$12,'Data Tables'!$D$6:$J$6,0))</f>
        <v>-3.3694252819165991</v>
      </c>
      <c r="F16" s="49">
        <f t="shared" si="0"/>
        <v>-5.0599273005058167</v>
      </c>
      <c r="G16" s="49">
        <f t="shared" si="1"/>
        <v>-5059927.3005058169</v>
      </c>
      <c r="H16" s="50">
        <f>INDEX('Data Tables'!$D$7:$J$21,MATCH('Worked Example (post TCR)'!$C16,'Data Tables'!$C$7:$C$20,0),MATCH('Worked Example (post TCR)'!H$12,'Data Tables'!$D$6:$J$6,0))</f>
        <v>3.95</v>
      </c>
      <c r="I16" s="49">
        <f t="shared" si="2"/>
        <v>-19986712.836997978</v>
      </c>
    </row>
    <row r="17" spans="2:9" x14ac:dyDescent="0.25">
      <c r="B17" s="31">
        <v>5</v>
      </c>
      <c r="C17" s="32" t="s">
        <v>14</v>
      </c>
      <c r="D17" s="48">
        <f>INDEX('Data Tables'!$D$7:$J$21,MATCH('Worked Example (post TCR)'!$C17,'Data Tables'!$C$7:$C$20,0),MATCH('Worked Example (post TCR)'!D$12,'Data Tables'!$D$6:$J$6,0))</f>
        <v>-2.5257935925973745</v>
      </c>
      <c r="E17" s="48">
        <f>INDEX('Data Tables'!$D$7:$J$21,MATCH('Worked Example (post TCR)'!$C17,'Data Tables'!$C$7:$C$20,0),MATCH('Worked Example (post TCR)'!E$12,'Data Tables'!$D$6:$J$6,0))</f>
        <v>-1.373597256629165</v>
      </c>
      <c r="F17" s="49">
        <f t="shared" si="0"/>
        <v>-3.8993908492265392</v>
      </c>
      <c r="G17" s="49">
        <f t="shared" si="1"/>
        <v>-3899390.849226539</v>
      </c>
      <c r="H17" s="50">
        <f>INDEX('Data Tables'!$D$7:$J$21,MATCH('Worked Example (post TCR)'!$C17,'Data Tables'!$C$7:$C$20,0),MATCH('Worked Example (post TCR)'!H$12,'Data Tables'!$D$6:$J$6,0))</f>
        <v>3.77</v>
      </c>
      <c r="I17" s="49">
        <f t="shared" si="2"/>
        <v>-14700703.501584053</v>
      </c>
    </row>
    <row r="18" spans="2:9" x14ac:dyDescent="0.25">
      <c r="B18" s="31">
        <v>6</v>
      </c>
      <c r="C18" s="32" t="s">
        <v>15</v>
      </c>
      <c r="D18" s="48">
        <f>INDEX('Data Tables'!$D$7:$J$21,MATCH('Worked Example (post TCR)'!$C18,'Data Tables'!$C$7:$C$20,0),MATCH('Worked Example (post TCR)'!D$12,'Data Tables'!$D$6:$J$6,0))</f>
        <v>-1.8410137719105926</v>
      </c>
      <c r="E18" s="48">
        <f>INDEX('Data Tables'!$D$7:$J$21,MATCH('Worked Example (post TCR)'!$C18,'Data Tables'!$C$7:$C$20,0),MATCH('Worked Example (post TCR)'!E$12,'Data Tables'!$D$6:$J$6,0))</f>
        <v>-0.98761051494839514</v>
      </c>
      <c r="F18" s="49">
        <f t="shared" si="0"/>
        <v>-2.8286242868589877</v>
      </c>
      <c r="G18" s="49">
        <f t="shared" si="1"/>
        <v>-2828624.2868589875</v>
      </c>
      <c r="H18" s="50">
        <f>INDEX('Data Tables'!$D$7:$J$21,MATCH('Worked Example (post TCR)'!$C18,'Data Tables'!$C$7:$C$20,0),MATCH('Worked Example (post TCR)'!H$12,'Data Tables'!$D$6:$J$6,0))</f>
        <v>2.57</v>
      </c>
      <c r="I18" s="49">
        <f t="shared" si="2"/>
        <v>-7269564.4172275979</v>
      </c>
    </row>
    <row r="19" spans="2:9" x14ac:dyDescent="0.25">
      <c r="B19" s="31">
        <v>7</v>
      </c>
      <c r="C19" s="32" t="s">
        <v>16</v>
      </c>
      <c r="D19" s="48">
        <f>INDEX('Data Tables'!$D$7:$J$21,MATCH('Worked Example (post TCR)'!$C19,'Data Tables'!$C$7:$C$20,0),MATCH('Worked Example (post TCR)'!D$12,'Data Tables'!$D$6:$J$6,0))</f>
        <v>-2.2445143032399533</v>
      </c>
      <c r="E19" s="48">
        <f>INDEX('Data Tables'!$D$7:$J$21,MATCH('Worked Example (post TCR)'!$C19,'Data Tables'!$C$7:$C$20,0),MATCH('Worked Example (post TCR)'!E$12,'Data Tables'!$D$6:$J$6,0))</f>
        <v>1.9000051499386192</v>
      </c>
      <c r="F19" s="49">
        <f t="shared" si="0"/>
        <v>-0.34450915330133403</v>
      </c>
      <c r="G19" s="49">
        <f t="shared" si="1"/>
        <v>-344509.15330133401</v>
      </c>
      <c r="H19" s="50">
        <f>INDEX('Data Tables'!$D$7:$J$21,MATCH('Worked Example (post TCR)'!$C19,'Data Tables'!$C$7:$C$20,0),MATCH('Worked Example (post TCR)'!H$12,'Data Tables'!$D$6:$J$6,0))</f>
        <v>4.59</v>
      </c>
      <c r="I19" s="49">
        <f t="shared" si="2"/>
        <v>-1581297.0136531231</v>
      </c>
    </row>
    <row r="20" spans="2:9" x14ac:dyDescent="0.25">
      <c r="B20" s="31">
        <v>8</v>
      </c>
      <c r="C20" s="32" t="s">
        <v>17</v>
      </c>
      <c r="D20" s="48">
        <f>INDEX('Data Tables'!$D$7:$J$21,MATCH('Worked Example (post TCR)'!$C20,'Data Tables'!$C$7:$C$20,0),MATCH('Worked Example (post TCR)'!D$12,'Data Tables'!$D$6:$J$6,0))</f>
        <v>-1.9271845725519481</v>
      </c>
      <c r="E20" s="48">
        <f>INDEX('Data Tables'!$D$7:$J$21,MATCH('Worked Example (post TCR)'!$C20,'Data Tables'!$C$7:$C$20,0),MATCH('Worked Example (post TCR)'!E$12,'Data Tables'!$D$6:$J$6,0))</f>
        <v>2.8437706866408097</v>
      </c>
      <c r="F20" s="49">
        <f t="shared" si="0"/>
        <v>0.91658611408886159</v>
      </c>
      <c r="G20" s="49">
        <f t="shared" si="1"/>
        <v>916586.11408886162</v>
      </c>
      <c r="H20" s="50">
        <f>INDEX('Data Tables'!$D$7:$J$21,MATCH('Worked Example (post TCR)'!$C20,'Data Tables'!$C$7:$C$20,0),MATCH('Worked Example (post TCR)'!H$12,'Data Tables'!$D$6:$J$6,0))</f>
        <v>4.17</v>
      </c>
      <c r="I20" s="49">
        <f t="shared" si="2"/>
        <v>3822164.0957505531</v>
      </c>
    </row>
    <row r="21" spans="2:9" x14ac:dyDescent="0.25">
      <c r="B21" s="31">
        <v>9</v>
      </c>
      <c r="C21" s="32" t="s">
        <v>18</v>
      </c>
      <c r="D21" s="48">
        <f>INDEX('Data Tables'!$D$7:$J$21,MATCH('Worked Example (post TCR)'!$C21,'Data Tables'!$C$7:$C$20,0),MATCH('Worked Example (post TCR)'!D$12,'Data Tables'!$D$6:$J$6,0))</f>
        <v>1.390004908593919</v>
      </c>
      <c r="E21" s="48">
        <f>INDEX('Data Tables'!$D$7:$J$21,MATCH('Worked Example (post TCR)'!$C21,'Data Tables'!$C$7:$C$20,0),MATCH('Worked Example (post TCR)'!E$12,'Data Tables'!$D$6:$J$6,0))</f>
        <v>0.36697219078023358</v>
      </c>
      <c r="F21" s="49">
        <f t="shared" si="0"/>
        <v>1.7569770993741525</v>
      </c>
      <c r="G21" s="49">
        <f t="shared" si="1"/>
        <v>1756977.0993741525</v>
      </c>
      <c r="H21" s="50">
        <f>INDEX('Data Tables'!$D$7:$J$21,MATCH('Worked Example (post TCR)'!$C21,'Data Tables'!$C$7:$C$20,0),MATCH('Worked Example (post TCR)'!H$12,'Data Tables'!$D$6:$J$6,0))</f>
        <v>6.34</v>
      </c>
      <c r="I21" s="49">
        <f t="shared" si="2"/>
        <v>11139234.810032127</v>
      </c>
    </row>
    <row r="22" spans="2:9" x14ac:dyDescent="0.25">
      <c r="B22" s="31">
        <v>10</v>
      </c>
      <c r="C22" s="32" t="s">
        <v>19</v>
      </c>
      <c r="D22" s="48">
        <f>INDEX('Data Tables'!$D$7:$J$21,MATCH('Worked Example (post TCR)'!$C22,'Data Tables'!$C$7:$C$20,0),MATCH('Worked Example (post TCR)'!D$12,'Data Tables'!$D$6:$J$6,0))</f>
        <v>-6.027019451686221</v>
      </c>
      <c r="E22" s="48">
        <f>INDEX('Data Tables'!$D$7:$J$21,MATCH('Worked Example (post TCR)'!$C22,'Data Tables'!$C$7:$C$20,0),MATCH('Worked Example (post TCR)'!E$12,'Data Tables'!$D$6:$J$6,0))</f>
        <v>4.9080195416158858</v>
      </c>
      <c r="F22" s="49">
        <f t="shared" si="0"/>
        <v>-1.1189999100703352</v>
      </c>
      <c r="G22" s="49">
        <f t="shared" si="1"/>
        <v>-1118999.9100703353</v>
      </c>
      <c r="H22" s="50">
        <f>INDEX('Data Tables'!$D$7:$J$21,MATCH('Worked Example (post TCR)'!$C22,'Data Tables'!$C$7:$C$20,0),MATCH('Worked Example (post TCR)'!H$12,'Data Tables'!$D$6:$J$6,0))</f>
        <v>1.78</v>
      </c>
      <c r="I22" s="49">
        <f t="shared" si="2"/>
        <v>-1991819.8399251967</v>
      </c>
    </row>
    <row r="23" spans="2:9" x14ac:dyDescent="0.25">
      <c r="B23" s="31">
        <v>11</v>
      </c>
      <c r="C23" s="32" t="s">
        <v>20</v>
      </c>
      <c r="D23" s="48">
        <f>INDEX('Data Tables'!$D$7:$J$21,MATCH('Worked Example (post TCR)'!$C23,'Data Tables'!$C$7:$C$20,0),MATCH('Worked Example (post TCR)'!D$12,'Data Tables'!$D$6:$J$6,0))</f>
        <v>3.9083843934026974</v>
      </c>
      <c r="E23" s="48">
        <f>INDEX('Data Tables'!$D$7:$J$21,MATCH('Worked Example (post TCR)'!$C23,'Data Tables'!$C$7:$C$20,0),MATCH('Worked Example (post TCR)'!E$12,'Data Tables'!$D$6:$J$6,0))</f>
        <v>0.86337577449396297</v>
      </c>
      <c r="F23" s="49">
        <f t="shared" si="0"/>
        <v>4.7717601678966606</v>
      </c>
      <c r="G23" s="49">
        <f t="shared" si="1"/>
        <v>4771760.167896661</v>
      </c>
      <c r="H23" s="50">
        <f>INDEX('Data Tables'!$D$7:$J$21,MATCH('Worked Example (post TCR)'!$C23,'Data Tables'!$C$7:$C$20,0),MATCH('Worked Example (post TCR)'!H$12,'Data Tables'!$D$6:$J$6,0))</f>
        <v>3.83</v>
      </c>
      <c r="I23" s="49">
        <f t="shared" si="2"/>
        <v>18275841.443044212</v>
      </c>
    </row>
    <row r="24" spans="2:9" x14ac:dyDescent="0.25">
      <c r="B24" s="31">
        <v>12</v>
      </c>
      <c r="C24" s="32" t="s">
        <v>21</v>
      </c>
      <c r="D24" s="48">
        <f>INDEX('Data Tables'!$D$7:$J$21,MATCH('Worked Example (post TCR)'!$C24,'Data Tables'!$C$7:$C$20,0),MATCH('Worked Example (post TCR)'!D$12,'Data Tables'!$D$6:$J$6,0))</f>
        <v>5.7788014503436615</v>
      </c>
      <c r="E24" s="48">
        <f>INDEX('Data Tables'!$D$7:$J$21,MATCH('Worked Example (post TCR)'!$C24,'Data Tables'!$C$7:$C$20,0),MATCH('Worked Example (post TCR)'!E$12,'Data Tables'!$D$6:$J$6,0))</f>
        <v>1.7593821463569452</v>
      </c>
      <c r="F24" s="49">
        <f t="shared" si="0"/>
        <v>7.5381835967006072</v>
      </c>
      <c r="G24" s="49">
        <f t="shared" si="1"/>
        <v>7538183.5967006069</v>
      </c>
      <c r="H24" s="50">
        <f>INDEX('Data Tables'!$D$7:$J$21,MATCH('Worked Example (post TCR)'!$C24,'Data Tables'!$C$7:$C$20,0),MATCH('Worked Example (post TCR)'!H$12,'Data Tables'!$D$6:$J$6,0))</f>
        <v>4.12</v>
      </c>
      <c r="I24" s="49">
        <f t="shared" si="2"/>
        <v>31057316.418406501</v>
      </c>
    </row>
    <row r="25" spans="2:9" x14ac:dyDescent="0.25">
      <c r="B25" s="31">
        <v>13</v>
      </c>
      <c r="C25" s="32" t="s">
        <v>22</v>
      </c>
      <c r="D25" s="48">
        <f>INDEX('Data Tables'!$D$7:$J$21,MATCH('Worked Example (post TCR)'!$C25,'Data Tables'!$C$7:$C$20,0),MATCH('Worked Example (post TCR)'!D$12,'Data Tables'!$D$6:$J$6,0))</f>
        <v>1.9753704754688934</v>
      </c>
      <c r="E25" s="48">
        <f>INDEX('Data Tables'!$D$7:$J$21,MATCH('Worked Example (post TCR)'!$C25,'Data Tables'!$C$7:$C$20,0),MATCH('Worked Example (post TCR)'!E$12,'Data Tables'!$D$6:$J$6,0))</f>
        <v>4.0675412691681183</v>
      </c>
      <c r="F25" s="49">
        <f t="shared" si="0"/>
        <v>6.0429117446370118</v>
      </c>
      <c r="G25" s="49">
        <f t="shared" si="1"/>
        <v>6042911.7446370116</v>
      </c>
      <c r="H25" s="50">
        <f>INDEX('Data Tables'!$D$7:$J$21,MATCH('Worked Example (post TCR)'!$C25,'Data Tables'!$C$7:$C$20,0),MATCH('Worked Example (post TCR)'!H$12,'Data Tables'!$D$6:$J$6,0))</f>
        <v>5.39</v>
      </c>
      <c r="I25" s="49">
        <f t="shared" si="2"/>
        <v>32571294.30359349</v>
      </c>
    </row>
    <row r="26" spans="2:9" x14ac:dyDescent="0.25">
      <c r="B26" s="42">
        <v>14</v>
      </c>
      <c r="C26" s="43" t="s">
        <v>23</v>
      </c>
      <c r="D26" s="48">
        <f>INDEX('Data Tables'!$D$7:$J$21,MATCH('Worked Example (post TCR)'!$C26,'Data Tables'!$C$7:$C$20,0),MATCH('Worked Example (post TCR)'!D$12,'Data Tables'!$D$6:$J$6,0))</f>
        <v>-0.46628055470744928</v>
      </c>
      <c r="E26" s="48">
        <f>INDEX('Data Tables'!$D$7:$J$21,MATCH('Worked Example (post TCR)'!$C26,'Data Tables'!$C$7:$C$20,0),MATCH('Worked Example (post TCR)'!E$12,'Data Tables'!$D$6:$J$6,0))</f>
        <v>5.7568321935352209</v>
      </c>
      <c r="F26" s="49">
        <f t="shared" si="0"/>
        <v>5.2905516388277718</v>
      </c>
      <c r="G26" s="49">
        <f t="shared" si="1"/>
        <v>5290551.6388277719</v>
      </c>
      <c r="H26" s="50">
        <f>INDEX('Data Tables'!$D$7:$J$21,MATCH('Worked Example (post TCR)'!$C26,'Data Tables'!$C$7:$C$20,0),MATCH('Worked Example (post TCR)'!H$12,'Data Tables'!$D$6:$J$6,0))</f>
        <v>2.5499999999999998</v>
      </c>
      <c r="I26" s="49">
        <f t="shared" si="2"/>
        <v>13490906.679010818</v>
      </c>
    </row>
    <row r="27" spans="2:9" x14ac:dyDescent="0.25">
      <c r="B27" s="32"/>
      <c r="C27" s="44" t="s">
        <v>40</v>
      </c>
      <c r="D27" s="32"/>
      <c r="E27" s="32"/>
      <c r="F27" s="32"/>
      <c r="G27" s="32"/>
      <c r="H27" s="45">
        <f>SUM(H13:H26)</f>
        <v>50.4</v>
      </c>
      <c r="I27" s="46">
        <f>SUM(I13:I26)</f>
        <v>-86811623.445509404</v>
      </c>
    </row>
    <row r="28" spans="2:9" x14ac:dyDescent="0.25">
      <c r="B28" t="s">
        <v>37</v>
      </c>
    </row>
    <row r="30" spans="2:9" ht="15.75" x14ac:dyDescent="0.25">
      <c r="B30" s="29" t="s">
        <v>59</v>
      </c>
    </row>
    <row r="31" spans="2:9" ht="45" x14ac:dyDescent="0.25">
      <c r="B31" s="71" t="s">
        <v>8</v>
      </c>
      <c r="C31" s="71"/>
      <c r="D31" s="36" t="s">
        <v>30</v>
      </c>
      <c r="E31" s="37" t="s">
        <v>31</v>
      </c>
      <c r="F31" s="47" t="s">
        <v>33</v>
      </c>
      <c r="G31" s="47" t="s">
        <v>38</v>
      </c>
      <c r="H31" s="47" t="s">
        <v>64</v>
      </c>
      <c r="I31" s="47" t="s">
        <v>42</v>
      </c>
    </row>
    <row r="32" spans="2:9" x14ac:dyDescent="0.25">
      <c r="B32" s="31">
        <v>1</v>
      </c>
      <c r="C32" s="32" t="s">
        <v>10</v>
      </c>
      <c r="D32" s="48">
        <f>INDEX('Data Tables'!$D$7:$J$21,MATCH('Worked Example (post TCR)'!$C32,'Data Tables'!$C$7:$C$20,0),MATCH('Worked Example (post TCR)'!D$12,'Data Tables'!$D$6:$J$6,0))</f>
        <v>-2.1816911980665044</v>
      </c>
      <c r="E32" s="48">
        <f>INDEX('Data Tables'!$D$7:$J$21,MATCH('Worked Example (post TCR)'!$C32,'Data Tables'!$C$7:$C$20,0),MATCH('Worked Example (post TCR)'!E$12,'Data Tables'!$D$6:$J$6,0))</f>
        <v>-28.437799714589204</v>
      </c>
      <c r="F32" s="49">
        <f>D32+E32</f>
        <v>-30.619490912655706</v>
      </c>
      <c r="G32" s="49">
        <f>F32*10^6</f>
        <v>-30619490.912655707</v>
      </c>
      <c r="H32" s="50">
        <f>INDEX('Data Tables'!$D$7:$K$21,MATCH('Worked Example (post TCR)'!$C32,'Data Tables'!$C$7:$C$20,0),MATCH('Worked Example (post TCR)'!H$31,'Data Tables'!$D$6:$K$6,0))/10^3</f>
        <v>0.41614111459853187</v>
      </c>
      <c r="I32" s="49">
        <f>G32*H32</f>
        <v>-12742029.076832164</v>
      </c>
    </row>
    <row r="33" spans="2:9" x14ac:dyDescent="0.25">
      <c r="B33" s="31">
        <v>2</v>
      </c>
      <c r="C33" s="32" t="s">
        <v>11</v>
      </c>
      <c r="D33" s="48">
        <f>INDEX('Data Tables'!$D$7:$J$21,MATCH('Worked Example (post TCR)'!$C33,'Data Tables'!$C$7:$C$20,0),MATCH('Worked Example (post TCR)'!D$12,'Data Tables'!$D$6:$J$6,0))</f>
        <v>-2.1467882916375296</v>
      </c>
      <c r="E33" s="48">
        <f>INDEX('Data Tables'!$D$7:$J$21,MATCH('Worked Example (post TCR)'!$C33,'Data Tables'!$C$7:$C$20,0),MATCH('Worked Example (post TCR)'!E$12,'Data Tables'!$D$6:$J$6,0))</f>
        <v>-20.8357503473697</v>
      </c>
      <c r="F33" s="49">
        <f t="shared" ref="F33:F45" si="3">D33+E33</f>
        <v>-22.982538639007231</v>
      </c>
      <c r="G33" s="49">
        <f t="shared" ref="G33:G45" si="4">F33*10^6</f>
        <v>-22982538.639007229</v>
      </c>
      <c r="H33" s="50">
        <f>INDEX('Data Tables'!$D$7:$K$21,MATCH('Worked Example (post TCR)'!$C33,'Data Tables'!$C$7:$C$20,0),MATCH('Worked Example (post TCR)'!H$31,'Data Tables'!$D$6:$K$6,0))/10^3</f>
        <v>1.159011580351339</v>
      </c>
      <c r="I33" s="49">
        <f t="shared" ref="I33:I45" si="5">G33*H33</f>
        <v>-26637028.428481482</v>
      </c>
    </row>
    <row r="34" spans="2:9" x14ac:dyDescent="0.25">
      <c r="B34" s="31">
        <v>3</v>
      </c>
      <c r="C34" s="32" t="s">
        <v>12</v>
      </c>
      <c r="D34" s="48">
        <f>INDEX('Data Tables'!$D$7:$J$21,MATCH('Worked Example (post TCR)'!$C34,'Data Tables'!$C$7:$C$20,0),MATCH('Worked Example (post TCR)'!D$12,'Data Tables'!$D$6:$J$6,0))</f>
        <v>-3.6192884308827087</v>
      </c>
      <c r="E34" s="48">
        <f>INDEX('Data Tables'!$D$7:$J$21,MATCH('Worked Example (post TCR)'!$C34,'Data Tables'!$C$7:$C$20,0),MATCH('Worked Example (post TCR)'!E$12,'Data Tables'!$D$6:$J$6,0))</f>
        <v>-8.0963697831774333</v>
      </c>
      <c r="F34" s="49">
        <f t="shared" si="3"/>
        <v>-11.715658214060142</v>
      </c>
      <c r="G34" s="49">
        <f t="shared" si="4"/>
        <v>-11715658.214060141</v>
      </c>
      <c r="H34" s="50">
        <f>INDEX('Data Tables'!$D$7:$K$21,MATCH('Worked Example (post TCR)'!$C34,'Data Tables'!$C$7:$C$20,0),MATCH('Worked Example (post TCR)'!H$31,'Data Tables'!$D$6:$K$6,0))/10^3</f>
        <v>0.98178685876961658</v>
      </c>
      <c r="I34" s="49">
        <f t="shared" si="5"/>
        <v>-11502279.276400562</v>
      </c>
    </row>
    <row r="35" spans="2:9" x14ac:dyDescent="0.25">
      <c r="B35" s="31">
        <v>4</v>
      </c>
      <c r="C35" s="32" t="s">
        <v>13</v>
      </c>
      <c r="D35" s="48">
        <f>INDEX('Data Tables'!$D$7:$J$21,MATCH('Worked Example (post TCR)'!$C35,'Data Tables'!$C$7:$C$20,0),MATCH('Worked Example (post TCR)'!D$12,'Data Tables'!$D$6:$J$6,0))</f>
        <v>-1.6905020185892174</v>
      </c>
      <c r="E35" s="48">
        <f>INDEX('Data Tables'!$D$7:$J$21,MATCH('Worked Example (post TCR)'!$C35,'Data Tables'!$C$7:$C$20,0),MATCH('Worked Example (post TCR)'!E$12,'Data Tables'!$D$6:$J$6,0))</f>
        <v>-3.3694252819165991</v>
      </c>
      <c r="F35" s="49">
        <f t="shared" si="3"/>
        <v>-5.0599273005058167</v>
      </c>
      <c r="G35" s="49">
        <f t="shared" si="4"/>
        <v>-5059927.3005058169</v>
      </c>
      <c r="H35" s="50">
        <f>INDEX('Data Tables'!$D$7:$K$21,MATCH('Worked Example (post TCR)'!$C35,'Data Tables'!$C$7:$C$20,0),MATCH('Worked Example (post TCR)'!H$31,'Data Tables'!$D$6:$K$6,0))/10^3</f>
        <v>1.3755941659039252</v>
      </c>
      <c r="I35" s="49">
        <f t="shared" si="5"/>
        <v>-6960406.4744737996</v>
      </c>
    </row>
    <row r="36" spans="2:9" x14ac:dyDescent="0.25">
      <c r="B36" s="31">
        <v>5</v>
      </c>
      <c r="C36" s="32" t="s">
        <v>14</v>
      </c>
      <c r="D36" s="48">
        <f>INDEX('Data Tables'!$D$7:$J$21,MATCH('Worked Example (post TCR)'!$C36,'Data Tables'!$C$7:$C$20,0),MATCH('Worked Example (post TCR)'!D$12,'Data Tables'!$D$6:$J$6,0))</f>
        <v>-2.5257935925973745</v>
      </c>
      <c r="E36" s="48">
        <f>INDEX('Data Tables'!$D$7:$J$21,MATCH('Worked Example (post TCR)'!$C36,'Data Tables'!$C$7:$C$20,0),MATCH('Worked Example (post TCR)'!E$12,'Data Tables'!$D$6:$J$6,0))</f>
        <v>-1.373597256629165</v>
      </c>
      <c r="F36" s="49">
        <f t="shared" si="3"/>
        <v>-3.8993908492265392</v>
      </c>
      <c r="G36" s="49">
        <f t="shared" si="4"/>
        <v>-3899390.849226539</v>
      </c>
      <c r="H36" s="50">
        <f>INDEX('Data Tables'!$D$7:$K$21,MATCH('Worked Example (post TCR)'!$C36,'Data Tables'!$C$7:$C$20,0),MATCH('Worked Example (post TCR)'!H$31,'Data Tables'!$D$6:$K$6,0))/10^3</f>
        <v>1.491230816394433</v>
      </c>
      <c r="I36" s="49">
        <f t="shared" si="5"/>
        <v>-5814891.7995330729</v>
      </c>
    </row>
    <row r="37" spans="2:9" x14ac:dyDescent="0.25">
      <c r="B37" s="31">
        <v>6</v>
      </c>
      <c r="C37" s="32" t="s">
        <v>15</v>
      </c>
      <c r="D37" s="48">
        <f>INDEX('Data Tables'!$D$7:$J$21,MATCH('Worked Example (post TCR)'!$C37,'Data Tables'!$C$7:$C$20,0),MATCH('Worked Example (post TCR)'!D$12,'Data Tables'!$D$6:$J$6,0))</f>
        <v>-1.8410137719105926</v>
      </c>
      <c r="E37" s="48">
        <f>INDEX('Data Tables'!$D$7:$J$21,MATCH('Worked Example (post TCR)'!$C37,'Data Tables'!$C$7:$C$20,0),MATCH('Worked Example (post TCR)'!E$12,'Data Tables'!$D$6:$J$6,0))</f>
        <v>-0.98761051494839514</v>
      </c>
      <c r="F37" s="49">
        <f t="shared" si="3"/>
        <v>-2.8286242868589877</v>
      </c>
      <c r="G37" s="49">
        <f t="shared" si="4"/>
        <v>-2828624.2868589875</v>
      </c>
      <c r="H37" s="50">
        <f>INDEX('Data Tables'!$D$7:$K$21,MATCH('Worked Example (post TCR)'!$C37,'Data Tables'!$C$7:$C$20,0),MATCH('Worked Example (post TCR)'!H$31,'Data Tables'!$D$6:$K$6,0))/10^3</f>
        <v>0.97587137246813094</v>
      </c>
      <c r="I37" s="49">
        <f t="shared" si="5"/>
        <v>-2760373.4650137681</v>
      </c>
    </row>
    <row r="38" spans="2:9" x14ac:dyDescent="0.25">
      <c r="B38" s="31">
        <v>7</v>
      </c>
      <c r="C38" s="32" t="s">
        <v>16</v>
      </c>
      <c r="D38" s="48">
        <f>INDEX('Data Tables'!$D$7:$J$21,MATCH('Worked Example (post TCR)'!$C38,'Data Tables'!$C$7:$C$20,0),MATCH('Worked Example (post TCR)'!D$12,'Data Tables'!$D$6:$J$6,0))</f>
        <v>-2.2445143032399533</v>
      </c>
      <c r="E38" s="48">
        <f>INDEX('Data Tables'!$D$7:$J$21,MATCH('Worked Example (post TCR)'!$C38,'Data Tables'!$C$7:$C$20,0),MATCH('Worked Example (post TCR)'!E$12,'Data Tables'!$D$6:$J$6,0))</f>
        <v>1.9000051499386192</v>
      </c>
      <c r="F38" s="49">
        <f t="shared" si="3"/>
        <v>-0.34450915330133403</v>
      </c>
      <c r="G38" s="49">
        <f t="shared" si="4"/>
        <v>-344509.15330133401</v>
      </c>
      <c r="H38" s="50">
        <f>INDEX('Data Tables'!$D$7:$K$21,MATCH('Worked Example (post TCR)'!$C38,'Data Tables'!$C$7:$C$20,0),MATCH('Worked Example (post TCR)'!H$31,'Data Tables'!$D$6:$K$6,0))/10^3</f>
        <v>1.6761396968149262</v>
      </c>
      <c r="I38" s="49">
        <f t="shared" si="5"/>
        <v>-577445.46776446491</v>
      </c>
    </row>
    <row r="39" spans="2:9" x14ac:dyDescent="0.25">
      <c r="B39" s="31">
        <v>8</v>
      </c>
      <c r="C39" s="32" t="s">
        <v>17</v>
      </c>
      <c r="D39" s="48">
        <f>INDEX('Data Tables'!$D$7:$J$21,MATCH('Worked Example (post TCR)'!$C39,'Data Tables'!$C$7:$C$20,0),MATCH('Worked Example (post TCR)'!D$12,'Data Tables'!$D$6:$J$6,0))</f>
        <v>-1.9271845725519481</v>
      </c>
      <c r="E39" s="48">
        <f>INDEX('Data Tables'!$D$7:$J$21,MATCH('Worked Example (post TCR)'!$C39,'Data Tables'!$C$7:$C$20,0),MATCH('Worked Example (post TCR)'!E$12,'Data Tables'!$D$6:$J$6,0))</f>
        <v>2.8437706866408097</v>
      </c>
      <c r="F39" s="49">
        <f t="shared" si="3"/>
        <v>0.91658611408886159</v>
      </c>
      <c r="G39" s="49">
        <f t="shared" si="4"/>
        <v>916586.11408886162</v>
      </c>
      <c r="H39" s="50">
        <f>INDEX('Data Tables'!$D$7:$K$21,MATCH('Worked Example (post TCR)'!$C39,'Data Tables'!$C$7:$C$20,0),MATCH('Worked Example (post TCR)'!H$31,'Data Tables'!$D$6:$K$6,0))/10^3</f>
        <v>1.4944853605303248</v>
      </c>
      <c r="I39" s="49">
        <f t="shared" si="5"/>
        <v>1369824.5291711818</v>
      </c>
    </row>
    <row r="40" spans="2:9" x14ac:dyDescent="0.25">
      <c r="B40" s="31">
        <v>9</v>
      </c>
      <c r="C40" s="32" t="s">
        <v>18</v>
      </c>
      <c r="D40" s="48">
        <f>INDEX('Data Tables'!$D$7:$J$21,MATCH('Worked Example (post TCR)'!$C40,'Data Tables'!$C$7:$C$20,0),MATCH('Worked Example (post TCR)'!D$12,'Data Tables'!$D$6:$J$6,0))</f>
        <v>1.390004908593919</v>
      </c>
      <c r="E40" s="48">
        <f>INDEX('Data Tables'!$D$7:$J$21,MATCH('Worked Example (post TCR)'!$C40,'Data Tables'!$C$7:$C$20,0),MATCH('Worked Example (post TCR)'!E$12,'Data Tables'!$D$6:$J$6,0))</f>
        <v>0.36697219078023358</v>
      </c>
      <c r="F40" s="49">
        <f t="shared" si="3"/>
        <v>1.7569770993741525</v>
      </c>
      <c r="G40" s="49">
        <f t="shared" si="4"/>
        <v>1756977.0993741525</v>
      </c>
      <c r="H40" s="50">
        <f>INDEX('Data Tables'!$D$7:$K$21,MATCH('Worked Example (post TCR)'!$C40,'Data Tables'!$C$7:$C$20,0),MATCH('Worked Example (post TCR)'!H$31,'Data Tables'!$D$6:$K$6,0))/10^3</f>
        <v>1.9689646687663362</v>
      </c>
      <c r="I40" s="49">
        <f t="shared" si="5"/>
        <v>3459425.8324992666</v>
      </c>
    </row>
    <row r="41" spans="2:9" x14ac:dyDescent="0.25">
      <c r="B41" s="31">
        <v>10</v>
      </c>
      <c r="C41" s="32" t="s">
        <v>19</v>
      </c>
      <c r="D41" s="48">
        <f>INDEX('Data Tables'!$D$7:$J$21,MATCH('Worked Example (post TCR)'!$C41,'Data Tables'!$C$7:$C$20,0),MATCH('Worked Example (post TCR)'!D$12,'Data Tables'!$D$6:$J$6,0))</f>
        <v>-6.027019451686221</v>
      </c>
      <c r="E41" s="48">
        <f>INDEX('Data Tables'!$D$7:$J$21,MATCH('Worked Example (post TCR)'!$C41,'Data Tables'!$C$7:$C$20,0),MATCH('Worked Example (post TCR)'!E$12,'Data Tables'!$D$6:$J$6,0))</f>
        <v>4.9080195416158858</v>
      </c>
      <c r="F41" s="49">
        <f t="shared" si="3"/>
        <v>-1.1189999100703352</v>
      </c>
      <c r="G41" s="49">
        <f t="shared" si="4"/>
        <v>-1118999.9100703353</v>
      </c>
      <c r="H41" s="50">
        <f>INDEX('Data Tables'!$D$7:$K$21,MATCH('Worked Example (post TCR)'!$C41,'Data Tables'!$C$7:$C$20,0),MATCH('Worked Example (post TCR)'!H$31,'Data Tables'!$D$6:$K$6,0))/10^3</f>
        <v>0.7568798455863972</v>
      </c>
      <c r="I41" s="49">
        <f t="shared" si="5"/>
        <v>-846948.4791452277</v>
      </c>
    </row>
    <row r="42" spans="2:9" x14ac:dyDescent="0.25">
      <c r="B42" s="31">
        <v>11</v>
      </c>
      <c r="C42" s="32" t="s">
        <v>20</v>
      </c>
      <c r="D42" s="48">
        <f>INDEX('Data Tables'!$D$7:$J$21,MATCH('Worked Example (post TCR)'!$C42,'Data Tables'!$C$7:$C$20,0),MATCH('Worked Example (post TCR)'!D$12,'Data Tables'!$D$6:$J$6,0))</f>
        <v>3.9083843934026974</v>
      </c>
      <c r="E42" s="48">
        <f>INDEX('Data Tables'!$D$7:$J$21,MATCH('Worked Example (post TCR)'!$C42,'Data Tables'!$C$7:$C$20,0),MATCH('Worked Example (post TCR)'!E$12,'Data Tables'!$D$6:$J$6,0))</f>
        <v>0.86337577449396297</v>
      </c>
      <c r="F42" s="49">
        <f t="shared" si="3"/>
        <v>4.7717601678966606</v>
      </c>
      <c r="G42" s="49">
        <f t="shared" si="4"/>
        <v>4771760.167896661</v>
      </c>
      <c r="H42" s="50">
        <f>INDEX('Data Tables'!$D$7:$K$21,MATCH('Worked Example (post TCR)'!$C42,'Data Tables'!$C$7:$C$20,0),MATCH('Worked Example (post TCR)'!H$31,'Data Tables'!$D$6:$K$6,0))/10^3</f>
        <v>1.0961280382935006</v>
      </c>
      <c r="I42" s="49">
        <f t="shared" si="5"/>
        <v>5230460.1120436322</v>
      </c>
    </row>
    <row r="43" spans="2:9" x14ac:dyDescent="0.25">
      <c r="B43" s="31">
        <v>12</v>
      </c>
      <c r="C43" s="32" t="s">
        <v>21</v>
      </c>
      <c r="D43" s="48">
        <f>INDEX('Data Tables'!$D$7:$J$21,MATCH('Worked Example (post TCR)'!$C43,'Data Tables'!$C$7:$C$20,0),MATCH('Worked Example (post TCR)'!D$12,'Data Tables'!$D$6:$J$6,0))</f>
        <v>5.7788014503436615</v>
      </c>
      <c r="E43" s="48">
        <f>INDEX('Data Tables'!$D$7:$J$21,MATCH('Worked Example (post TCR)'!$C43,'Data Tables'!$C$7:$C$20,0),MATCH('Worked Example (post TCR)'!E$12,'Data Tables'!$D$6:$J$6,0))</f>
        <v>1.7593821463569452</v>
      </c>
      <c r="F43" s="49">
        <f t="shared" si="3"/>
        <v>7.5381835967006072</v>
      </c>
      <c r="G43" s="49">
        <f t="shared" si="4"/>
        <v>7538183.5967006069</v>
      </c>
      <c r="H43" s="50">
        <f>INDEX('Data Tables'!$D$7:$K$21,MATCH('Worked Example (post TCR)'!$C43,'Data Tables'!$C$7:$C$20,0),MATCH('Worked Example (post TCR)'!H$31,'Data Tables'!$D$6:$K$6,0))/10^3</f>
        <v>2.1045728522134834</v>
      </c>
      <c r="I43" s="49">
        <f t="shared" si="5"/>
        <v>15864656.552617092</v>
      </c>
    </row>
    <row r="44" spans="2:9" x14ac:dyDescent="0.25">
      <c r="B44" s="31">
        <v>13</v>
      </c>
      <c r="C44" s="32" t="s">
        <v>22</v>
      </c>
      <c r="D44" s="48">
        <f>INDEX('Data Tables'!$D$7:$J$21,MATCH('Worked Example (post TCR)'!$C44,'Data Tables'!$C$7:$C$20,0),MATCH('Worked Example (post TCR)'!D$12,'Data Tables'!$D$6:$J$6,0))</f>
        <v>1.9753704754688934</v>
      </c>
      <c r="E44" s="48">
        <f>INDEX('Data Tables'!$D$7:$J$21,MATCH('Worked Example (post TCR)'!$C44,'Data Tables'!$C$7:$C$20,0),MATCH('Worked Example (post TCR)'!E$12,'Data Tables'!$D$6:$J$6,0))</f>
        <v>4.0675412691681183</v>
      </c>
      <c r="F44" s="49">
        <f t="shared" si="3"/>
        <v>6.0429117446370118</v>
      </c>
      <c r="G44" s="49">
        <f t="shared" si="4"/>
        <v>6042911.7446370116</v>
      </c>
      <c r="H44" s="50">
        <f>INDEX('Data Tables'!$D$7:$K$21,MATCH('Worked Example (post TCR)'!$C44,'Data Tables'!$C$7:$C$20,0),MATCH('Worked Example (post TCR)'!H$31,'Data Tables'!$D$6:$K$6,0))/10^3</f>
        <v>1.9257689253900272</v>
      </c>
      <c r="I44" s="49">
        <f t="shared" si="5"/>
        <v>11637251.656696392</v>
      </c>
    </row>
    <row r="45" spans="2:9" x14ac:dyDescent="0.25">
      <c r="B45" s="42">
        <v>14</v>
      </c>
      <c r="C45" s="43" t="s">
        <v>23</v>
      </c>
      <c r="D45" s="48">
        <f>INDEX('Data Tables'!$D$7:$J$21,MATCH('Worked Example (post TCR)'!$C45,'Data Tables'!$C$7:$C$20,0),MATCH('Worked Example (post TCR)'!D$12,'Data Tables'!$D$6:$J$6,0))</f>
        <v>-0.46628055470744928</v>
      </c>
      <c r="E45" s="48">
        <f>INDEX('Data Tables'!$D$7:$J$21,MATCH('Worked Example (post TCR)'!$C45,'Data Tables'!$C$7:$C$20,0),MATCH('Worked Example (post TCR)'!E$12,'Data Tables'!$D$6:$J$6,0))</f>
        <v>5.7568321935352209</v>
      </c>
      <c r="F45" s="49">
        <f t="shared" si="3"/>
        <v>5.2905516388277718</v>
      </c>
      <c r="G45" s="49">
        <f t="shared" si="4"/>
        <v>5290551.6388277719</v>
      </c>
      <c r="H45" s="50">
        <f>INDEX('Data Tables'!$D$7:$K$21,MATCH('Worked Example (post TCR)'!$C45,'Data Tables'!$C$7:$C$20,0),MATCH('Worked Example (post TCR)'!H$31,'Data Tables'!$D$6:$K$6,0))/10^3</f>
        <v>0.69612244391902645</v>
      </c>
      <c r="I45" s="49">
        <f t="shared" si="5"/>
        <v>3682871.736500599</v>
      </c>
    </row>
    <row r="46" spans="2:9" x14ac:dyDescent="0.25">
      <c r="B46" s="32"/>
      <c r="C46" s="44" t="s">
        <v>40</v>
      </c>
      <c r="D46" s="32"/>
      <c r="E46" s="32"/>
      <c r="F46" s="32"/>
      <c r="G46" s="32"/>
      <c r="H46" s="45">
        <f>SUM(H32:H45)</f>
        <v>18.118697739999998</v>
      </c>
      <c r="I46" s="46">
        <f>SUM(I32:I45)</f>
        <v>-26596912.048116378</v>
      </c>
    </row>
    <row r="48" spans="2:9" ht="15.75" x14ac:dyDescent="0.25">
      <c r="B48" s="29" t="s">
        <v>60</v>
      </c>
    </row>
    <row r="49" spans="2:6" ht="45" x14ac:dyDescent="0.25">
      <c r="B49" s="71" t="s">
        <v>8</v>
      </c>
      <c r="C49" s="71"/>
      <c r="D49" s="47" t="s">
        <v>39</v>
      </c>
      <c r="E49" s="47" t="s">
        <v>42</v>
      </c>
      <c r="F49" s="47" t="s">
        <v>43</v>
      </c>
    </row>
    <row r="50" spans="2:6" x14ac:dyDescent="0.25">
      <c r="B50" s="31">
        <v>1</v>
      </c>
      <c r="C50" s="32" t="s">
        <v>10</v>
      </c>
      <c r="D50" s="49">
        <f>I13</f>
        <v>-45010651.641603887</v>
      </c>
      <c r="E50" s="49">
        <f>I32</f>
        <v>-12742029.076832164</v>
      </c>
      <c r="F50" s="49">
        <f>D50-E50</f>
        <v>-32268622.564771723</v>
      </c>
    </row>
    <row r="51" spans="2:6" x14ac:dyDescent="0.25">
      <c r="B51" s="31">
        <v>2</v>
      </c>
      <c r="C51" s="32" t="s">
        <v>11</v>
      </c>
      <c r="D51" s="49">
        <f t="shared" ref="D51:D64" si="6">I14</f>
        <v>-77221329.827064291</v>
      </c>
      <c r="E51" s="49">
        <f t="shared" ref="E51:E64" si="7">I33</f>
        <v>-26637028.428481482</v>
      </c>
      <c r="F51" s="49">
        <f t="shared" ref="F51:F64" si="8">D51-E51</f>
        <v>-50584301.398582809</v>
      </c>
    </row>
    <row r="52" spans="2:6" x14ac:dyDescent="0.25">
      <c r="B52" s="31">
        <v>3</v>
      </c>
      <c r="C52" s="32" t="s">
        <v>12</v>
      </c>
      <c r="D52" s="49">
        <f t="shared" si="6"/>
        <v>-29406302.117290951</v>
      </c>
      <c r="E52" s="49">
        <f t="shared" si="7"/>
        <v>-11502279.276400562</v>
      </c>
      <c r="F52" s="49">
        <f t="shared" si="8"/>
        <v>-17904022.840890389</v>
      </c>
    </row>
    <row r="53" spans="2:6" x14ac:dyDescent="0.25">
      <c r="B53" s="31">
        <v>4</v>
      </c>
      <c r="C53" s="32" t="s">
        <v>13</v>
      </c>
      <c r="D53" s="49">
        <f t="shared" si="6"/>
        <v>-19986712.836997978</v>
      </c>
      <c r="E53" s="49">
        <f t="shared" si="7"/>
        <v>-6960406.4744737996</v>
      </c>
      <c r="F53" s="49">
        <f t="shared" si="8"/>
        <v>-13026306.362524178</v>
      </c>
    </row>
    <row r="54" spans="2:6" x14ac:dyDescent="0.25">
      <c r="B54" s="31">
        <v>5</v>
      </c>
      <c r="C54" s="32" t="s">
        <v>14</v>
      </c>
      <c r="D54" s="49">
        <f t="shared" si="6"/>
        <v>-14700703.501584053</v>
      </c>
      <c r="E54" s="49">
        <f t="shared" si="7"/>
        <v>-5814891.7995330729</v>
      </c>
      <c r="F54" s="49">
        <f t="shared" si="8"/>
        <v>-8885811.7020509802</v>
      </c>
    </row>
    <row r="55" spans="2:6" x14ac:dyDescent="0.25">
      <c r="B55" s="31">
        <v>6</v>
      </c>
      <c r="C55" s="32" t="s">
        <v>15</v>
      </c>
      <c r="D55" s="49">
        <f t="shared" si="6"/>
        <v>-7269564.4172275979</v>
      </c>
      <c r="E55" s="49">
        <f t="shared" si="7"/>
        <v>-2760373.4650137681</v>
      </c>
      <c r="F55" s="49">
        <f t="shared" si="8"/>
        <v>-4509190.9522138294</v>
      </c>
    </row>
    <row r="56" spans="2:6" x14ac:dyDescent="0.25">
      <c r="B56" s="31">
        <v>7</v>
      </c>
      <c r="C56" s="32" t="s">
        <v>16</v>
      </c>
      <c r="D56" s="49">
        <f t="shared" si="6"/>
        <v>-1581297.0136531231</v>
      </c>
      <c r="E56" s="49">
        <f t="shared" si="7"/>
        <v>-577445.46776446491</v>
      </c>
      <c r="F56" s="49">
        <f t="shared" si="8"/>
        <v>-1003851.5458886581</v>
      </c>
    </row>
    <row r="57" spans="2:6" x14ac:dyDescent="0.25">
      <c r="B57" s="31">
        <v>8</v>
      </c>
      <c r="C57" s="32" t="s">
        <v>17</v>
      </c>
      <c r="D57" s="49">
        <f t="shared" si="6"/>
        <v>3822164.0957505531</v>
      </c>
      <c r="E57" s="49">
        <f t="shared" si="7"/>
        <v>1369824.5291711818</v>
      </c>
      <c r="F57" s="49">
        <f t="shared" si="8"/>
        <v>2452339.5665793712</v>
      </c>
    </row>
    <row r="58" spans="2:6" x14ac:dyDescent="0.25">
      <c r="B58" s="31">
        <v>9</v>
      </c>
      <c r="C58" s="32" t="s">
        <v>18</v>
      </c>
      <c r="D58" s="49">
        <f t="shared" si="6"/>
        <v>11139234.810032127</v>
      </c>
      <c r="E58" s="49">
        <f t="shared" si="7"/>
        <v>3459425.8324992666</v>
      </c>
      <c r="F58" s="49">
        <f t="shared" si="8"/>
        <v>7679808.9775328608</v>
      </c>
    </row>
    <row r="59" spans="2:6" x14ac:dyDescent="0.25">
      <c r="B59" s="31">
        <v>10</v>
      </c>
      <c r="C59" s="32" t="s">
        <v>19</v>
      </c>
      <c r="D59" s="49">
        <f t="shared" si="6"/>
        <v>-1991819.8399251967</v>
      </c>
      <c r="E59" s="49">
        <f t="shared" si="7"/>
        <v>-846948.4791452277</v>
      </c>
      <c r="F59" s="49">
        <f t="shared" si="8"/>
        <v>-1144871.360779969</v>
      </c>
    </row>
    <row r="60" spans="2:6" x14ac:dyDescent="0.25">
      <c r="B60" s="31">
        <v>11</v>
      </c>
      <c r="C60" s="32" t="s">
        <v>20</v>
      </c>
      <c r="D60" s="49">
        <f t="shared" si="6"/>
        <v>18275841.443044212</v>
      </c>
      <c r="E60" s="49">
        <f t="shared" si="7"/>
        <v>5230460.1120436322</v>
      </c>
      <c r="F60" s="49">
        <f t="shared" si="8"/>
        <v>13045381.33100058</v>
      </c>
    </row>
    <row r="61" spans="2:6" x14ac:dyDescent="0.25">
      <c r="B61" s="31">
        <v>12</v>
      </c>
      <c r="C61" s="32" t="s">
        <v>21</v>
      </c>
      <c r="D61" s="49">
        <f t="shared" si="6"/>
        <v>31057316.418406501</v>
      </c>
      <c r="E61" s="49">
        <f t="shared" si="7"/>
        <v>15864656.552617092</v>
      </c>
      <c r="F61" s="49">
        <f t="shared" si="8"/>
        <v>15192659.86578941</v>
      </c>
    </row>
    <row r="62" spans="2:6" x14ac:dyDescent="0.25">
      <c r="B62" s="31">
        <v>13</v>
      </c>
      <c r="C62" s="32" t="s">
        <v>22</v>
      </c>
      <c r="D62" s="49">
        <f t="shared" si="6"/>
        <v>32571294.30359349</v>
      </c>
      <c r="E62" s="49">
        <f t="shared" si="7"/>
        <v>11637251.656696392</v>
      </c>
      <c r="F62" s="49">
        <f t="shared" si="8"/>
        <v>20934042.6468971</v>
      </c>
    </row>
    <row r="63" spans="2:6" x14ac:dyDescent="0.25">
      <c r="B63" s="42">
        <v>14</v>
      </c>
      <c r="C63" s="43" t="s">
        <v>23</v>
      </c>
      <c r="D63" s="49">
        <f t="shared" si="6"/>
        <v>13490906.679010818</v>
      </c>
      <c r="E63" s="49">
        <f t="shared" si="7"/>
        <v>3682871.736500599</v>
      </c>
      <c r="F63" s="49">
        <f t="shared" si="8"/>
        <v>9808034.9425102193</v>
      </c>
    </row>
    <row r="64" spans="2:6" x14ac:dyDescent="0.25">
      <c r="B64" s="32"/>
      <c r="C64" s="44" t="s">
        <v>40</v>
      </c>
      <c r="D64" s="49">
        <f t="shared" si="6"/>
        <v>-86811623.445509404</v>
      </c>
      <c r="E64" s="49">
        <f t="shared" si="7"/>
        <v>-26596912.048116378</v>
      </c>
      <c r="F64" s="49">
        <f t="shared" si="8"/>
        <v>-60214711.397393025</v>
      </c>
    </row>
    <row r="66" spans="2:7" ht="15.75" x14ac:dyDescent="0.25">
      <c r="B66" s="29" t="s">
        <v>61</v>
      </c>
    </row>
    <row r="67" spans="2:7" ht="45" x14ac:dyDescent="0.25">
      <c r="B67" s="72" t="s">
        <v>8</v>
      </c>
      <c r="C67" s="73"/>
      <c r="D67" s="47" t="s">
        <v>43</v>
      </c>
      <c r="E67" s="47" t="s">
        <v>35</v>
      </c>
      <c r="F67" s="47" t="s">
        <v>44</v>
      </c>
      <c r="G67" s="52" t="s">
        <v>45</v>
      </c>
    </row>
    <row r="68" spans="2:7" x14ac:dyDescent="0.25">
      <c r="B68" s="31">
        <v>1</v>
      </c>
      <c r="C68" s="32" t="s">
        <v>10</v>
      </c>
      <c r="D68" s="49">
        <f>F50</f>
        <v>-32268622.564771723</v>
      </c>
      <c r="E68" s="51">
        <f>INDEX('Data Tables'!$D$7:$J$21,MATCH('Worked Example (post TCR)'!$C68,'Data Tables'!$C$7:$C$20,0),MATCH(E$67,'Data Tables'!$D$6:$J$6,0))</f>
        <v>0.78396292555975933</v>
      </c>
      <c r="F68" s="53">
        <f>E68*10^6</f>
        <v>783962.92555975937</v>
      </c>
      <c r="G68" s="54">
        <f>D68/F68</f>
        <v>-41.160903803877616</v>
      </c>
    </row>
    <row r="69" spans="2:7" x14ac:dyDescent="0.25">
      <c r="B69" s="31">
        <v>2</v>
      </c>
      <c r="C69" s="32" t="s">
        <v>11</v>
      </c>
      <c r="D69" s="49">
        <f t="shared" ref="D69:D82" si="9">F51</f>
        <v>-50584301.398582809</v>
      </c>
      <c r="E69" s="51">
        <f>INDEX('Data Tables'!$D$7:$J$21,MATCH('Worked Example (post TCR)'!$C69,'Data Tables'!$C$7:$C$20,0),MATCH(E$67,'Data Tables'!$D$6:$J$6,0))</f>
        <v>1.7161040013352449</v>
      </c>
      <c r="F69" s="53">
        <f t="shared" ref="F69:F81" si="10">E69*10^6</f>
        <v>1716104.0013352449</v>
      </c>
      <c r="G69" s="54">
        <f t="shared" ref="G69:G81" si="11">D69/F69</f>
        <v>-29.476244656049285</v>
      </c>
    </row>
    <row r="70" spans="2:7" x14ac:dyDescent="0.25">
      <c r="B70" s="31">
        <v>3</v>
      </c>
      <c r="C70" s="32" t="s">
        <v>12</v>
      </c>
      <c r="D70" s="49">
        <f t="shared" si="9"/>
        <v>-17904022.840890389</v>
      </c>
      <c r="E70" s="51">
        <f>INDEX('Data Tables'!$D$7:$J$21,MATCH('Worked Example (post TCR)'!$C70,'Data Tables'!$C$7:$C$20,0),MATCH(E$67,'Data Tables'!$D$6:$J$6,0))</f>
        <v>1.2155985985422018</v>
      </c>
      <c r="F70" s="53">
        <f t="shared" si="10"/>
        <v>1215598.5985422018</v>
      </c>
      <c r="G70" s="54">
        <f t="shared" si="11"/>
        <v>-14.728564891701639</v>
      </c>
    </row>
    <row r="71" spans="2:7" x14ac:dyDescent="0.25">
      <c r="B71" s="31">
        <v>4</v>
      </c>
      <c r="C71" s="32" t="s">
        <v>13</v>
      </c>
      <c r="D71" s="49">
        <f t="shared" si="9"/>
        <v>-13026306.362524178</v>
      </c>
      <c r="E71" s="51">
        <f>INDEX('Data Tables'!$D$7:$J$21,MATCH('Worked Example (post TCR)'!$C71,'Data Tables'!$C$7:$C$20,0),MATCH(E$67,'Data Tables'!$D$6:$J$6,0))</f>
        <v>2.0030922732591225</v>
      </c>
      <c r="F71" s="53">
        <f t="shared" si="10"/>
        <v>2003092.2732591226</v>
      </c>
      <c r="G71" s="54">
        <f t="shared" si="11"/>
        <v>-6.5030985024617873</v>
      </c>
    </row>
    <row r="72" spans="2:7" x14ac:dyDescent="0.25">
      <c r="B72" s="31">
        <v>5</v>
      </c>
      <c r="C72" s="32" t="s">
        <v>14</v>
      </c>
      <c r="D72" s="49">
        <f t="shared" si="9"/>
        <v>-8885811.7020509802</v>
      </c>
      <c r="E72" s="51">
        <f>INDEX('Data Tables'!$D$7:$J$21,MATCH('Worked Example (post TCR)'!$C72,'Data Tables'!$C$7:$C$20,0),MATCH(E$67,'Data Tables'!$D$6:$J$6,0))</f>
        <v>1.8281020333130364</v>
      </c>
      <c r="F72" s="53">
        <f t="shared" si="10"/>
        <v>1828102.0333130364</v>
      </c>
      <c r="G72" s="54">
        <f t="shared" si="11"/>
        <v>-4.8606760126771391</v>
      </c>
    </row>
    <row r="73" spans="2:7" x14ac:dyDescent="0.25">
      <c r="B73" s="31">
        <v>6</v>
      </c>
      <c r="C73" s="32" t="s">
        <v>15</v>
      </c>
      <c r="D73" s="49">
        <f t="shared" si="9"/>
        <v>-4509190.9522138294</v>
      </c>
      <c r="E73" s="51">
        <f>INDEX('Data Tables'!$D$7:$J$21,MATCH('Worked Example (post TCR)'!$C73,'Data Tables'!$C$7:$C$20,0),MATCH(E$67,'Data Tables'!$D$6:$J$6,0))</f>
        <v>1.274585619554172</v>
      </c>
      <c r="F73" s="53">
        <f t="shared" si="10"/>
        <v>1274585.619554172</v>
      </c>
      <c r="G73" s="54">
        <f t="shared" si="11"/>
        <v>-3.5377701450853229</v>
      </c>
    </row>
    <row r="74" spans="2:7" x14ac:dyDescent="0.25">
      <c r="B74" s="31">
        <v>7</v>
      </c>
      <c r="C74" s="32" t="s">
        <v>16</v>
      </c>
      <c r="D74" s="49">
        <f t="shared" si="9"/>
        <v>-1003851.5458886581</v>
      </c>
      <c r="E74" s="51">
        <f>INDEX('Data Tables'!$D$7:$J$21,MATCH('Worked Example (post TCR)'!$C74,'Data Tables'!$C$7:$C$20,0),MATCH(E$67,'Data Tables'!$D$6:$J$6,0))</f>
        <v>2.2713699044785209</v>
      </c>
      <c r="F74" s="53">
        <f t="shared" si="10"/>
        <v>2271369.9044785211</v>
      </c>
      <c r="G74" s="54">
        <f t="shared" si="11"/>
        <v>-0.44195863646398459</v>
      </c>
    </row>
    <row r="75" spans="2:7" x14ac:dyDescent="0.25">
      <c r="B75" s="31">
        <v>8</v>
      </c>
      <c r="C75" s="32" t="s">
        <v>17</v>
      </c>
      <c r="D75" s="49">
        <f t="shared" si="9"/>
        <v>2452339.5665793712</v>
      </c>
      <c r="E75" s="51">
        <f>INDEX('Data Tables'!$D$7:$J$21,MATCH('Worked Example (post TCR)'!$C75,'Data Tables'!$C$7:$C$20,0),MATCH(E$67,'Data Tables'!$D$6:$J$6,0))</f>
        <v>2.0592835000974561</v>
      </c>
      <c r="F75" s="53">
        <f t="shared" si="10"/>
        <v>2059283.5000974562</v>
      </c>
      <c r="G75" s="54">
        <f t="shared" si="11"/>
        <v>1.1908703034153936</v>
      </c>
    </row>
    <row r="76" spans="2:7" x14ac:dyDescent="0.25">
      <c r="B76" s="31">
        <v>9</v>
      </c>
      <c r="C76" s="32" t="s">
        <v>18</v>
      </c>
      <c r="D76" s="49">
        <f t="shared" si="9"/>
        <v>7679808.9775328608</v>
      </c>
      <c r="E76" s="51">
        <f>INDEX('Data Tables'!$D$7:$J$21,MATCH('Worked Example (post TCR)'!$C76,'Data Tables'!$C$7:$C$20,0),MATCH(E$67,'Data Tables'!$D$6:$J$6,0))</f>
        <v>3.2163959907504638</v>
      </c>
      <c r="F76" s="53">
        <f t="shared" si="10"/>
        <v>3216395.9907504637</v>
      </c>
      <c r="G76" s="54">
        <f t="shared" si="11"/>
        <v>2.3877063022146641</v>
      </c>
    </row>
    <row r="77" spans="2:7" x14ac:dyDescent="0.25">
      <c r="B77" s="31">
        <v>10</v>
      </c>
      <c r="C77" s="32" t="s">
        <v>19</v>
      </c>
      <c r="D77" s="49">
        <f t="shared" si="9"/>
        <v>-1144871.360779969</v>
      </c>
      <c r="E77" s="51">
        <f>INDEX('Data Tables'!$D$7:$J$21,MATCH('Worked Example (post TCR)'!$C77,'Data Tables'!$C$7:$C$20,0),MATCH(E$67,'Data Tables'!$D$6:$J$6,0))</f>
        <v>0.870643135071964</v>
      </c>
      <c r="F77" s="53">
        <f t="shared" si="10"/>
        <v>870643.135071964</v>
      </c>
      <c r="G77" s="54">
        <f t="shared" si="11"/>
        <v>-1.3149720185703162</v>
      </c>
    </row>
    <row r="78" spans="2:7" x14ac:dyDescent="0.25">
      <c r="B78" s="31">
        <v>11</v>
      </c>
      <c r="C78" s="32" t="s">
        <v>20</v>
      </c>
      <c r="D78" s="49">
        <f t="shared" si="9"/>
        <v>13045381.33100058</v>
      </c>
      <c r="E78" s="51">
        <f>INDEX('Data Tables'!$D$7:$J$21,MATCH('Worked Example (post TCR)'!$C78,'Data Tables'!$C$7:$C$20,0),MATCH(E$67,'Data Tables'!$D$6:$J$6,0))</f>
        <v>1.9868004181200176</v>
      </c>
      <c r="F78" s="53">
        <f t="shared" si="10"/>
        <v>1986800.4181200175</v>
      </c>
      <c r="G78" s="54">
        <f t="shared" si="11"/>
        <v>6.5660250581910953</v>
      </c>
    </row>
    <row r="79" spans="2:7" x14ac:dyDescent="0.25">
      <c r="B79" s="31">
        <v>12</v>
      </c>
      <c r="C79" s="32" t="s">
        <v>21</v>
      </c>
      <c r="D79" s="49">
        <f t="shared" si="9"/>
        <v>15192659.86578941</v>
      </c>
      <c r="E79" s="51">
        <f>INDEX('Data Tables'!$D$7:$J$21,MATCH('Worked Example (post TCR)'!$C79,'Data Tables'!$C$7:$C$20,0),MATCH(E$67,'Data Tables'!$D$6:$J$6,0))</f>
        <v>1.8792216471598735</v>
      </c>
      <c r="F79" s="53">
        <f t="shared" si="10"/>
        <v>1879221.6471598735</v>
      </c>
      <c r="G79" s="54">
        <f t="shared" si="11"/>
        <v>8.0845492008622575</v>
      </c>
    </row>
    <row r="80" spans="2:7" x14ac:dyDescent="0.25">
      <c r="B80" s="31">
        <v>13</v>
      </c>
      <c r="C80" s="32" t="s">
        <v>22</v>
      </c>
      <c r="D80" s="49">
        <f t="shared" si="9"/>
        <v>20934042.6468971</v>
      </c>
      <c r="E80" s="51">
        <f>INDEX('Data Tables'!$D$7:$J$21,MATCH('Worked Example (post TCR)'!$C80,'Data Tables'!$C$7:$C$20,0),MATCH(E$67,'Data Tables'!$D$6:$J$6,0))</f>
        <v>2.6761765435234901</v>
      </c>
      <c r="F80" s="53">
        <f t="shared" si="10"/>
        <v>2676176.54352349</v>
      </c>
      <c r="G80" s="54">
        <f t="shared" si="11"/>
        <v>7.8223698274161908</v>
      </c>
    </row>
    <row r="81" spans="1:7" x14ac:dyDescent="0.25">
      <c r="B81" s="42">
        <v>14</v>
      </c>
      <c r="C81" s="43" t="s">
        <v>23</v>
      </c>
      <c r="D81" s="49">
        <f t="shared" si="9"/>
        <v>9808034.9425102193</v>
      </c>
      <c r="E81" s="51">
        <f>INDEX('Data Tables'!$D$7:$J$21,MATCH('Worked Example (post TCR)'!$C81,'Data Tables'!$C$7:$C$20,0),MATCH(E$67,'Data Tables'!$D$6:$J$6,0))</f>
        <v>1.3450809342346726</v>
      </c>
      <c r="F81" s="53">
        <f t="shared" si="10"/>
        <v>1345080.9342346725</v>
      </c>
      <c r="G81" s="54">
        <f t="shared" si="11"/>
        <v>7.2917805114015835</v>
      </c>
    </row>
    <row r="82" spans="1:7" x14ac:dyDescent="0.25">
      <c r="B82" s="32"/>
      <c r="C82" s="44" t="s">
        <v>40</v>
      </c>
      <c r="D82" s="46">
        <f t="shared" si="9"/>
        <v>-60214711.397393025</v>
      </c>
      <c r="E82" s="55">
        <f>SUM(E68:E81)</f>
        <v>25.126417524999997</v>
      </c>
      <c r="F82" s="56">
        <f>SUM(F68:F81)</f>
        <v>25126417.524999995</v>
      </c>
    </row>
    <row r="84" spans="1:7" ht="15.75" x14ac:dyDescent="0.25">
      <c r="B84" s="29" t="s">
        <v>62</v>
      </c>
    </row>
    <row r="85" spans="1:7" ht="32.25" customHeight="1" x14ac:dyDescent="0.25">
      <c r="B85" s="40" t="s">
        <v>46</v>
      </c>
      <c r="C85" s="28">
        <f>I46</f>
        <v>-26596912.048116378</v>
      </c>
      <c r="D85" s="74" t="s">
        <v>48</v>
      </c>
    </row>
    <row r="86" spans="1:7" ht="33" customHeight="1" x14ac:dyDescent="0.25">
      <c r="B86" s="40" t="s">
        <v>47</v>
      </c>
      <c r="C86" s="28">
        <f>D82</f>
        <v>-60214711.397393025</v>
      </c>
      <c r="D86" s="74"/>
    </row>
    <row r="88" spans="1:7" ht="33" customHeight="1" x14ac:dyDescent="0.25">
      <c r="B88" s="40" t="s">
        <v>49</v>
      </c>
      <c r="C88" s="28">
        <f>C86+C85</f>
        <v>-86811623.445509404</v>
      </c>
    </row>
    <row r="90" spans="1:7" ht="15.75" x14ac:dyDescent="0.25">
      <c r="B90" s="29" t="s">
        <v>50</v>
      </c>
    </row>
    <row r="91" spans="1:7" ht="15.75" x14ac:dyDescent="0.25">
      <c r="B91" s="57">
        <f>C9</f>
        <v>2544500000</v>
      </c>
    </row>
    <row r="92" spans="1:7" ht="15.75" x14ac:dyDescent="0.25">
      <c r="A92" s="58" t="s">
        <v>51</v>
      </c>
      <c r="B92" s="57">
        <f>C88</f>
        <v>-86811623.445509404</v>
      </c>
    </row>
    <row r="93" spans="1:7" ht="15.75" x14ac:dyDescent="0.25">
      <c r="B93" s="57">
        <f>B91-B92</f>
        <v>2631311623.4455094</v>
      </c>
    </row>
    <row r="95" spans="1:7" ht="15.75" x14ac:dyDescent="0.25">
      <c r="B95" s="29" t="s">
        <v>63</v>
      </c>
    </row>
    <row r="96" spans="1:7" x14ac:dyDescent="0.25">
      <c r="B96" t="s">
        <v>52</v>
      </c>
    </row>
    <row r="97" spans="2:3" x14ac:dyDescent="0.25">
      <c r="B97" t="s">
        <v>53</v>
      </c>
    </row>
    <row r="100" spans="2:3" ht="15.75" x14ac:dyDescent="0.25">
      <c r="B100" s="29"/>
    </row>
    <row r="101" spans="2:3" x14ac:dyDescent="0.25">
      <c r="C101" s="27"/>
    </row>
    <row r="102" spans="2:3" x14ac:dyDescent="0.25">
      <c r="C102" s="27"/>
    </row>
    <row r="104" spans="2:3" x14ac:dyDescent="0.25">
      <c r="C104" s="60"/>
    </row>
  </sheetData>
  <mergeCells count="5">
    <mergeCell ref="B12:C12"/>
    <mergeCell ref="B31:C31"/>
    <mergeCell ref="B49:C49"/>
    <mergeCell ref="B67:C67"/>
    <mergeCell ref="D85:D8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4"/>
  <sheetViews>
    <sheetView topLeftCell="A31" workbookViewId="0">
      <selection activeCell="I27" sqref="I27"/>
    </sheetView>
  </sheetViews>
  <sheetFormatPr defaultRowHeight="15" x14ac:dyDescent="0.25"/>
  <cols>
    <col min="2" max="2" width="26.28515625" customWidth="1"/>
    <col min="3" max="3" width="18" customWidth="1"/>
    <col min="4" max="4" width="16.140625" customWidth="1"/>
    <col min="5" max="5" width="15.5703125" customWidth="1"/>
    <col min="6" max="6" width="14.85546875" customWidth="1"/>
    <col min="7" max="7" width="18.42578125" customWidth="1"/>
    <col min="8" max="8" width="17.28515625" customWidth="1"/>
    <col min="9" max="9" width="15.28515625" customWidth="1"/>
  </cols>
  <sheetData>
    <row r="2" spans="2:9" x14ac:dyDescent="0.25">
      <c r="B2" t="s">
        <v>55</v>
      </c>
    </row>
    <row r="3" spans="2:9" x14ac:dyDescent="0.25">
      <c r="B3" t="s">
        <v>26</v>
      </c>
      <c r="C3" s="41">
        <v>2837000000</v>
      </c>
    </row>
    <row r="4" spans="2:9" x14ac:dyDescent="0.25">
      <c r="B4" t="s">
        <v>27</v>
      </c>
      <c r="C4" s="41">
        <v>111000000</v>
      </c>
    </row>
    <row r="6" spans="2:9" x14ac:dyDescent="0.25">
      <c r="B6" t="s">
        <v>28</v>
      </c>
      <c r="C6" s="41">
        <v>403500000</v>
      </c>
    </row>
    <row r="9" spans="2:9" ht="15.75" x14ac:dyDescent="0.25">
      <c r="B9" s="29" t="s">
        <v>57</v>
      </c>
      <c r="C9" s="30">
        <f>(C3+C4)-C6</f>
        <v>2544500000</v>
      </c>
      <c r="D9" t="s">
        <v>29</v>
      </c>
    </row>
    <row r="11" spans="2:9" ht="15.75" x14ac:dyDescent="0.25">
      <c r="B11" s="29" t="s">
        <v>58</v>
      </c>
    </row>
    <row r="12" spans="2:9" ht="48.75" customHeight="1" x14ac:dyDescent="0.25">
      <c r="B12" s="71" t="s">
        <v>8</v>
      </c>
      <c r="C12" s="71"/>
      <c r="D12" s="36" t="s">
        <v>30</v>
      </c>
      <c r="E12" s="37" t="s">
        <v>31</v>
      </c>
      <c r="F12" s="47" t="s">
        <v>33</v>
      </c>
      <c r="G12" s="47" t="s">
        <v>38</v>
      </c>
      <c r="H12" s="47" t="s">
        <v>36</v>
      </c>
      <c r="I12" s="47" t="s">
        <v>39</v>
      </c>
    </row>
    <row r="13" spans="2:9" x14ac:dyDescent="0.25">
      <c r="B13" s="31">
        <v>1</v>
      </c>
      <c r="C13" s="32" t="s">
        <v>10</v>
      </c>
      <c r="D13" s="48">
        <f>INDEX('Data Tables'!$D$7:$J$21,MATCH('Worked Example (post TCR) floor'!$C13,'Data Tables'!$C$7:$C$20,0),MATCH('Worked Example (post TCR) floor'!D$12,'Data Tables'!$D$6:$J$6,0))</f>
        <v>-2.1816911980665044</v>
      </c>
      <c r="E13" s="48">
        <f>INDEX('Data Tables'!$D$7:$J$21,MATCH('Worked Example (post TCR) floor'!$C13,'Data Tables'!$C$7:$C$20,0),MATCH('Worked Example (post TCR) floor'!E$12,'Data Tables'!$D$6:$J$6,0))</f>
        <v>-28.437799714589204</v>
      </c>
      <c r="F13" s="49">
        <f>D13+E13</f>
        <v>-30.619490912655706</v>
      </c>
      <c r="G13" s="49">
        <f>F13*10^6</f>
        <v>-30619490.912655707</v>
      </c>
      <c r="H13" s="50">
        <f>INDEX('Data Tables'!$D$7:$J$21,MATCH('Worked Example (post TCR) floor'!$C13,'Data Tables'!$C$7:$C$20,0),MATCH('Worked Example (post TCR) floor'!H$12,'Data Tables'!$D$6:$J$6,0))</f>
        <v>1.47</v>
      </c>
      <c r="I13" s="49">
        <f>H13*G13</f>
        <v>-45010651.641603887</v>
      </c>
    </row>
    <row r="14" spans="2:9" x14ac:dyDescent="0.25">
      <c r="B14" s="31">
        <v>2</v>
      </c>
      <c r="C14" s="32" t="s">
        <v>11</v>
      </c>
      <c r="D14" s="48">
        <f>INDEX('Data Tables'!$D$7:$J$21,MATCH('Worked Example (post TCR) floor'!$C14,'Data Tables'!$C$7:$C$20,0),MATCH('Worked Example (post TCR) floor'!D$12,'Data Tables'!$D$6:$J$6,0))</f>
        <v>-2.1467882916375296</v>
      </c>
      <c r="E14" s="48">
        <f>INDEX('Data Tables'!$D$7:$J$21,MATCH('Worked Example (post TCR) floor'!$C14,'Data Tables'!$C$7:$C$20,0),MATCH('Worked Example (post TCR) floor'!E$12,'Data Tables'!$D$6:$J$6,0))</f>
        <v>-20.8357503473697</v>
      </c>
      <c r="F14" s="49">
        <f t="shared" ref="F14:F26" si="0">D14+E14</f>
        <v>-22.982538639007231</v>
      </c>
      <c r="G14" s="49">
        <f t="shared" ref="G14:G26" si="1">F14*10^6</f>
        <v>-22982538.639007229</v>
      </c>
      <c r="H14" s="50">
        <f>INDEX('Data Tables'!$D$7:$J$21,MATCH('Worked Example (post TCR) floor'!$C14,'Data Tables'!$C$7:$C$20,0),MATCH('Worked Example (post TCR) floor'!H$12,'Data Tables'!$D$6:$J$6,0))</f>
        <v>3.36</v>
      </c>
      <c r="I14" s="49">
        <f t="shared" ref="I14:I26" si="2">H14*G14</f>
        <v>-77221329.827064291</v>
      </c>
    </row>
    <row r="15" spans="2:9" x14ac:dyDescent="0.25">
      <c r="B15" s="31">
        <v>3</v>
      </c>
      <c r="C15" s="32" t="s">
        <v>12</v>
      </c>
      <c r="D15" s="48">
        <f>INDEX('Data Tables'!$D$7:$J$21,MATCH('Worked Example (post TCR) floor'!$C15,'Data Tables'!$C$7:$C$20,0),MATCH('Worked Example (post TCR) floor'!D$12,'Data Tables'!$D$6:$J$6,0))</f>
        <v>-3.6192884308827087</v>
      </c>
      <c r="E15" s="48">
        <f>INDEX('Data Tables'!$D$7:$J$21,MATCH('Worked Example (post TCR) floor'!$C15,'Data Tables'!$C$7:$C$20,0),MATCH('Worked Example (post TCR) floor'!E$12,'Data Tables'!$D$6:$J$6,0))</f>
        <v>-8.0963697831774333</v>
      </c>
      <c r="F15" s="49">
        <f t="shared" si="0"/>
        <v>-11.715658214060142</v>
      </c>
      <c r="G15" s="49">
        <f t="shared" si="1"/>
        <v>-11715658.214060141</v>
      </c>
      <c r="H15" s="50">
        <f>INDEX('Data Tables'!$D$7:$J$21,MATCH('Worked Example (post TCR) floor'!$C15,'Data Tables'!$C$7:$C$20,0),MATCH('Worked Example (post TCR) floor'!H$12,'Data Tables'!$D$6:$J$6,0))</f>
        <v>2.5099999999999998</v>
      </c>
      <c r="I15" s="49">
        <f t="shared" si="2"/>
        <v>-29406302.117290951</v>
      </c>
    </row>
    <row r="16" spans="2:9" x14ac:dyDescent="0.25">
      <c r="B16" s="31">
        <v>4</v>
      </c>
      <c r="C16" s="32" t="s">
        <v>13</v>
      </c>
      <c r="D16" s="48">
        <f>INDEX('Data Tables'!$D$7:$J$21,MATCH('Worked Example (post TCR) floor'!$C16,'Data Tables'!$C$7:$C$20,0),MATCH('Worked Example (post TCR) floor'!D$12,'Data Tables'!$D$6:$J$6,0))</f>
        <v>-1.6905020185892174</v>
      </c>
      <c r="E16" s="48">
        <f>INDEX('Data Tables'!$D$7:$J$21,MATCH('Worked Example (post TCR) floor'!$C16,'Data Tables'!$C$7:$C$20,0),MATCH('Worked Example (post TCR) floor'!E$12,'Data Tables'!$D$6:$J$6,0))</f>
        <v>-3.3694252819165991</v>
      </c>
      <c r="F16" s="49">
        <f t="shared" si="0"/>
        <v>-5.0599273005058167</v>
      </c>
      <c r="G16" s="49">
        <f t="shared" si="1"/>
        <v>-5059927.3005058169</v>
      </c>
      <c r="H16" s="50">
        <f>INDEX('Data Tables'!$D$7:$J$21,MATCH('Worked Example (post TCR) floor'!$C16,'Data Tables'!$C$7:$C$20,0),MATCH('Worked Example (post TCR) floor'!H$12,'Data Tables'!$D$6:$J$6,0))</f>
        <v>3.95</v>
      </c>
      <c r="I16" s="49">
        <f t="shared" si="2"/>
        <v>-19986712.836997978</v>
      </c>
    </row>
    <row r="17" spans="2:9" x14ac:dyDescent="0.25">
      <c r="B17" s="31">
        <v>5</v>
      </c>
      <c r="C17" s="32" t="s">
        <v>14</v>
      </c>
      <c r="D17" s="48">
        <f>INDEX('Data Tables'!$D$7:$J$21,MATCH('Worked Example (post TCR) floor'!$C17,'Data Tables'!$C$7:$C$20,0),MATCH('Worked Example (post TCR) floor'!D$12,'Data Tables'!$D$6:$J$6,0))</f>
        <v>-2.5257935925973745</v>
      </c>
      <c r="E17" s="48">
        <f>INDEX('Data Tables'!$D$7:$J$21,MATCH('Worked Example (post TCR) floor'!$C17,'Data Tables'!$C$7:$C$20,0),MATCH('Worked Example (post TCR) floor'!E$12,'Data Tables'!$D$6:$J$6,0))</f>
        <v>-1.373597256629165</v>
      </c>
      <c r="F17" s="49">
        <f t="shared" si="0"/>
        <v>-3.8993908492265392</v>
      </c>
      <c r="G17" s="49">
        <f t="shared" si="1"/>
        <v>-3899390.849226539</v>
      </c>
      <c r="H17" s="50">
        <f>INDEX('Data Tables'!$D$7:$J$21,MATCH('Worked Example (post TCR) floor'!$C17,'Data Tables'!$C$7:$C$20,0),MATCH('Worked Example (post TCR) floor'!H$12,'Data Tables'!$D$6:$J$6,0))</f>
        <v>3.77</v>
      </c>
      <c r="I17" s="49">
        <f t="shared" si="2"/>
        <v>-14700703.501584053</v>
      </c>
    </row>
    <row r="18" spans="2:9" x14ac:dyDescent="0.25">
      <c r="B18" s="31">
        <v>6</v>
      </c>
      <c r="C18" s="32" t="s">
        <v>15</v>
      </c>
      <c r="D18" s="48">
        <f>INDEX('Data Tables'!$D$7:$J$21,MATCH('Worked Example (post TCR) floor'!$C18,'Data Tables'!$C$7:$C$20,0),MATCH('Worked Example (post TCR) floor'!D$12,'Data Tables'!$D$6:$J$6,0))</f>
        <v>-1.8410137719105926</v>
      </c>
      <c r="E18" s="48">
        <f>INDEX('Data Tables'!$D$7:$J$21,MATCH('Worked Example (post TCR) floor'!$C18,'Data Tables'!$C$7:$C$20,0),MATCH('Worked Example (post TCR) floor'!E$12,'Data Tables'!$D$6:$J$6,0))</f>
        <v>-0.98761051494839514</v>
      </c>
      <c r="F18" s="49">
        <f t="shared" si="0"/>
        <v>-2.8286242868589877</v>
      </c>
      <c r="G18" s="49">
        <f t="shared" si="1"/>
        <v>-2828624.2868589875</v>
      </c>
      <c r="H18" s="50">
        <f>INDEX('Data Tables'!$D$7:$J$21,MATCH('Worked Example (post TCR) floor'!$C18,'Data Tables'!$C$7:$C$20,0),MATCH('Worked Example (post TCR) floor'!H$12,'Data Tables'!$D$6:$J$6,0))</f>
        <v>2.57</v>
      </c>
      <c r="I18" s="49">
        <f t="shared" si="2"/>
        <v>-7269564.4172275979</v>
      </c>
    </row>
    <row r="19" spans="2:9" x14ac:dyDescent="0.25">
      <c r="B19" s="31">
        <v>7</v>
      </c>
      <c r="C19" s="32" t="s">
        <v>16</v>
      </c>
      <c r="D19" s="48">
        <f>INDEX('Data Tables'!$D$7:$J$21,MATCH('Worked Example (post TCR) floor'!$C19,'Data Tables'!$C$7:$C$20,0),MATCH('Worked Example (post TCR) floor'!D$12,'Data Tables'!$D$6:$J$6,0))</f>
        <v>-2.2445143032399533</v>
      </c>
      <c r="E19" s="48">
        <f>INDEX('Data Tables'!$D$7:$J$21,MATCH('Worked Example (post TCR) floor'!$C19,'Data Tables'!$C$7:$C$20,0),MATCH('Worked Example (post TCR) floor'!E$12,'Data Tables'!$D$6:$J$6,0))</f>
        <v>1.9000051499386192</v>
      </c>
      <c r="F19" s="49">
        <f t="shared" si="0"/>
        <v>-0.34450915330133403</v>
      </c>
      <c r="G19" s="49">
        <f t="shared" si="1"/>
        <v>-344509.15330133401</v>
      </c>
      <c r="H19" s="50">
        <f>INDEX('Data Tables'!$D$7:$J$21,MATCH('Worked Example (post TCR) floor'!$C19,'Data Tables'!$C$7:$C$20,0),MATCH('Worked Example (post TCR) floor'!H$12,'Data Tables'!$D$6:$J$6,0))</f>
        <v>4.59</v>
      </c>
      <c r="I19" s="49">
        <f t="shared" si="2"/>
        <v>-1581297.0136531231</v>
      </c>
    </row>
    <row r="20" spans="2:9" x14ac:dyDescent="0.25">
      <c r="B20" s="31">
        <v>8</v>
      </c>
      <c r="C20" s="32" t="s">
        <v>17</v>
      </c>
      <c r="D20" s="48">
        <f>INDEX('Data Tables'!$D$7:$J$21,MATCH('Worked Example (post TCR) floor'!$C20,'Data Tables'!$C$7:$C$20,0),MATCH('Worked Example (post TCR) floor'!D$12,'Data Tables'!$D$6:$J$6,0))</f>
        <v>-1.9271845725519481</v>
      </c>
      <c r="E20" s="48">
        <f>INDEX('Data Tables'!$D$7:$J$21,MATCH('Worked Example (post TCR) floor'!$C20,'Data Tables'!$C$7:$C$20,0),MATCH('Worked Example (post TCR) floor'!E$12,'Data Tables'!$D$6:$J$6,0))</f>
        <v>2.8437706866408097</v>
      </c>
      <c r="F20" s="49">
        <f t="shared" si="0"/>
        <v>0.91658611408886159</v>
      </c>
      <c r="G20" s="49">
        <f t="shared" si="1"/>
        <v>916586.11408886162</v>
      </c>
      <c r="H20" s="50">
        <f>INDEX('Data Tables'!$D$7:$J$21,MATCH('Worked Example (post TCR) floor'!$C20,'Data Tables'!$C$7:$C$20,0),MATCH('Worked Example (post TCR) floor'!H$12,'Data Tables'!$D$6:$J$6,0))</f>
        <v>4.17</v>
      </c>
      <c r="I20" s="49">
        <f t="shared" si="2"/>
        <v>3822164.0957505531</v>
      </c>
    </row>
    <row r="21" spans="2:9" x14ac:dyDescent="0.25">
      <c r="B21" s="31">
        <v>9</v>
      </c>
      <c r="C21" s="32" t="s">
        <v>18</v>
      </c>
      <c r="D21" s="48">
        <f>INDEX('Data Tables'!$D$7:$J$21,MATCH('Worked Example (post TCR) floor'!$C21,'Data Tables'!$C$7:$C$20,0),MATCH('Worked Example (post TCR) floor'!D$12,'Data Tables'!$D$6:$J$6,0))</f>
        <v>1.390004908593919</v>
      </c>
      <c r="E21" s="48">
        <f>INDEX('Data Tables'!$D$7:$J$21,MATCH('Worked Example (post TCR) floor'!$C21,'Data Tables'!$C$7:$C$20,0),MATCH('Worked Example (post TCR) floor'!E$12,'Data Tables'!$D$6:$J$6,0))</f>
        <v>0.36697219078023358</v>
      </c>
      <c r="F21" s="49">
        <f t="shared" si="0"/>
        <v>1.7569770993741525</v>
      </c>
      <c r="G21" s="49">
        <f t="shared" si="1"/>
        <v>1756977.0993741525</v>
      </c>
      <c r="H21" s="50">
        <f>INDEX('Data Tables'!$D$7:$J$21,MATCH('Worked Example (post TCR) floor'!$C21,'Data Tables'!$C$7:$C$20,0),MATCH('Worked Example (post TCR) floor'!H$12,'Data Tables'!$D$6:$J$6,0))</f>
        <v>6.34</v>
      </c>
      <c r="I21" s="49">
        <f t="shared" si="2"/>
        <v>11139234.810032127</v>
      </c>
    </row>
    <row r="22" spans="2:9" x14ac:dyDescent="0.25">
      <c r="B22" s="31">
        <v>10</v>
      </c>
      <c r="C22" s="32" t="s">
        <v>19</v>
      </c>
      <c r="D22" s="48">
        <f>INDEX('Data Tables'!$D$7:$J$21,MATCH('Worked Example (post TCR) floor'!$C22,'Data Tables'!$C$7:$C$20,0),MATCH('Worked Example (post TCR) floor'!D$12,'Data Tables'!$D$6:$J$6,0))</f>
        <v>-6.027019451686221</v>
      </c>
      <c r="E22" s="48">
        <f>INDEX('Data Tables'!$D$7:$J$21,MATCH('Worked Example (post TCR) floor'!$C22,'Data Tables'!$C$7:$C$20,0),MATCH('Worked Example (post TCR) floor'!E$12,'Data Tables'!$D$6:$J$6,0))</f>
        <v>4.9080195416158858</v>
      </c>
      <c r="F22" s="49">
        <f t="shared" si="0"/>
        <v>-1.1189999100703352</v>
      </c>
      <c r="G22" s="49">
        <f t="shared" si="1"/>
        <v>-1118999.9100703353</v>
      </c>
      <c r="H22" s="50">
        <f>INDEX('Data Tables'!$D$7:$J$21,MATCH('Worked Example (post TCR) floor'!$C22,'Data Tables'!$C$7:$C$20,0),MATCH('Worked Example (post TCR) floor'!H$12,'Data Tables'!$D$6:$J$6,0))</f>
        <v>1.78</v>
      </c>
      <c r="I22" s="49">
        <f t="shared" si="2"/>
        <v>-1991819.8399251967</v>
      </c>
    </row>
    <row r="23" spans="2:9" x14ac:dyDescent="0.25">
      <c r="B23" s="31">
        <v>11</v>
      </c>
      <c r="C23" s="32" t="s">
        <v>20</v>
      </c>
      <c r="D23" s="48">
        <f>INDEX('Data Tables'!$D$7:$J$21,MATCH('Worked Example (post TCR) floor'!$C23,'Data Tables'!$C$7:$C$20,0),MATCH('Worked Example (post TCR) floor'!D$12,'Data Tables'!$D$6:$J$6,0))</f>
        <v>3.9083843934026974</v>
      </c>
      <c r="E23" s="48">
        <f>INDEX('Data Tables'!$D$7:$J$21,MATCH('Worked Example (post TCR) floor'!$C23,'Data Tables'!$C$7:$C$20,0),MATCH('Worked Example (post TCR) floor'!E$12,'Data Tables'!$D$6:$J$6,0))</f>
        <v>0.86337577449396297</v>
      </c>
      <c r="F23" s="49">
        <f t="shared" si="0"/>
        <v>4.7717601678966606</v>
      </c>
      <c r="G23" s="49">
        <f t="shared" si="1"/>
        <v>4771760.167896661</v>
      </c>
      <c r="H23" s="50">
        <f>INDEX('Data Tables'!$D$7:$J$21,MATCH('Worked Example (post TCR) floor'!$C23,'Data Tables'!$C$7:$C$20,0),MATCH('Worked Example (post TCR) floor'!H$12,'Data Tables'!$D$6:$J$6,0))</f>
        <v>3.83</v>
      </c>
      <c r="I23" s="49">
        <f t="shared" si="2"/>
        <v>18275841.443044212</v>
      </c>
    </row>
    <row r="24" spans="2:9" x14ac:dyDescent="0.25">
      <c r="B24" s="31">
        <v>12</v>
      </c>
      <c r="C24" s="32" t="s">
        <v>21</v>
      </c>
      <c r="D24" s="48">
        <f>INDEX('Data Tables'!$D$7:$J$21,MATCH('Worked Example (post TCR) floor'!$C24,'Data Tables'!$C$7:$C$20,0),MATCH('Worked Example (post TCR) floor'!D$12,'Data Tables'!$D$6:$J$6,0))</f>
        <v>5.7788014503436615</v>
      </c>
      <c r="E24" s="48">
        <f>INDEX('Data Tables'!$D$7:$J$21,MATCH('Worked Example (post TCR) floor'!$C24,'Data Tables'!$C$7:$C$20,0),MATCH('Worked Example (post TCR) floor'!E$12,'Data Tables'!$D$6:$J$6,0))</f>
        <v>1.7593821463569452</v>
      </c>
      <c r="F24" s="49">
        <f t="shared" si="0"/>
        <v>7.5381835967006072</v>
      </c>
      <c r="G24" s="49">
        <f t="shared" si="1"/>
        <v>7538183.5967006069</v>
      </c>
      <c r="H24" s="50">
        <f>INDEX('Data Tables'!$D$7:$J$21,MATCH('Worked Example (post TCR) floor'!$C24,'Data Tables'!$C$7:$C$20,0),MATCH('Worked Example (post TCR) floor'!H$12,'Data Tables'!$D$6:$J$6,0))</f>
        <v>4.12</v>
      </c>
      <c r="I24" s="49">
        <f t="shared" si="2"/>
        <v>31057316.418406501</v>
      </c>
    </row>
    <row r="25" spans="2:9" x14ac:dyDescent="0.25">
      <c r="B25" s="31">
        <v>13</v>
      </c>
      <c r="C25" s="32" t="s">
        <v>22</v>
      </c>
      <c r="D25" s="48">
        <f>INDEX('Data Tables'!$D$7:$J$21,MATCH('Worked Example (post TCR) floor'!$C25,'Data Tables'!$C$7:$C$20,0),MATCH('Worked Example (post TCR) floor'!D$12,'Data Tables'!$D$6:$J$6,0))</f>
        <v>1.9753704754688934</v>
      </c>
      <c r="E25" s="48">
        <f>INDEX('Data Tables'!$D$7:$J$21,MATCH('Worked Example (post TCR) floor'!$C25,'Data Tables'!$C$7:$C$20,0),MATCH('Worked Example (post TCR) floor'!E$12,'Data Tables'!$D$6:$J$6,0))</f>
        <v>4.0675412691681183</v>
      </c>
      <c r="F25" s="49">
        <f t="shared" si="0"/>
        <v>6.0429117446370118</v>
      </c>
      <c r="G25" s="49">
        <f t="shared" si="1"/>
        <v>6042911.7446370116</v>
      </c>
      <c r="H25" s="50">
        <f>INDEX('Data Tables'!$D$7:$J$21,MATCH('Worked Example (post TCR) floor'!$C25,'Data Tables'!$C$7:$C$20,0),MATCH('Worked Example (post TCR) floor'!H$12,'Data Tables'!$D$6:$J$6,0))</f>
        <v>5.39</v>
      </c>
      <c r="I25" s="49">
        <f t="shared" si="2"/>
        <v>32571294.30359349</v>
      </c>
    </row>
    <row r="26" spans="2:9" x14ac:dyDescent="0.25">
      <c r="B26" s="42">
        <v>14</v>
      </c>
      <c r="C26" s="43" t="s">
        <v>23</v>
      </c>
      <c r="D26" s="48">
        <f>INDEX('Data Tables'!$D$7:$J$21,MATCH('Worked Example (post TCR) floor'!$C26,'Data Tables'!$C$7:$C$20,0),MATCH('Worked Example (post TCR) floor'!D$12,'Data Tables'!$D$6:$J$6,0))</f>
        <v>-0.46628055470744928</v>
      </c>
      <c r="E26" s="48">
        <f>INDEX('Data Tables'!$D$7:$J$21,MATCH('Worked Example (post TCR) floor'!$C26,'Data Tables'!$C$7:$C$20,0),MATCH('Worked Example (post TCR) floor'!E$12,'Data Tables'!$D$6:$J$6,0))</f>
        <v>5.7568321935352209</v>
      </c>
      <c r="F26" s="49">
        <f t="shared" si="0"/>
        <v>5.2905516388277718</v>
      </c>
      <c r="G26" s="49">
        <f t="shared" si="1"/>
        <v>5290551.6388277719</v>
      </c>
      <c r="H26" s="50">
        <f>INDEX('Data Tables'!$D$7:$J$21,MATCH('Worked Example (post TCR) floor'!$C26,'Data Tables'!$C$7:$C$20,0),MATCH('Worked Example (post TCR) floor'!H$12,'Data Tables'!$D$6:$J$6,0))</f>
        <v>2.5499999999999998</v>
      </c>
      <c r="I26" s="49">
        <f t="shared" si="2"/>
        <v>13490906.679010818</v>
      </c>
    </row>
    <row r="27" spans="2:9" x14ac:dyDescent="0.25">
      <c r="B27" s="32"/>
      <c r="C27" s="44" t="s">
        <v>40</v>
      </c>
      <c r="D27" s="32"/>
      <c r="E27" s="32"/>
      <c r="F27" s="32"/>
      <c r="G27" s="32"/>
      <c r="H27" s="45">
        <f>SUM(H13:H26)</f>
        <v>50.4</v>
      </c>
      <c r="I27" s="46">
        <f>SUM(I13:I26)</f>
        <v>-86811623.445509404</v>
      </c>
    </row>
    <row r="28" spans="2:9" x14ac:dyDescent="0.25">
      <c r="B28" t="s">
        <v>37</v>
      </c>
    </row>
    <row r="30" spans="2:9" ht="15.75" x14ac:dyDescent="0.25">
      <c r="B30" s="29" t="s">
        <v>59</v>
      </c>
    </row>
    <row r="31" spans="2:9" ht="45" x14ac:dyDescent="0.25">
      <c r="B31" s="71" t="s">
        <v>8</v>
      </c>
      <c r="C31" s="71"/>
      <c r="D31" s="36" t="s">
        <v>30</v>
      </c>
      <c r="E31" s="37" t="s">
        <v>31</v>
      </c>
      <c r="F31" s="47" t="s">
        <v>33</v>
      </c>
      <c r="G31" s="47" t="s">
        <v>38</v>
      </c>
      <c r="H31" s="47" t="s">
        <v>64</v>
      </c>
      <c r="I31" s="47" t="s">
        <v>42</v>
      </c>
    </row>
    <row r="32" spans="2:9" x14ac:dyDescent="0.25">
      <c r="B32" s="31">
        <v>1</v>
      </c>
      <c r="C32" s="32" t="s">
        <v>10</v>
      </c>
      <c r="D32" s="48">
        <f>INDEX('Data Tables'!$D$7:$J$21,MATCH('Worked Example (post TCR) floor'!$C32,'Data Tables'!$C$7:$C$20,0),MATCH('Worked Example (post TCR) floor'!D$12,'Data Tables'!$D$6:$J$6,0))</f>
        <v>-2.1816911980665044</v>
      </c>
      <c r="E32" s="48">
        <f>INDEX('Data Tables'!$D$7:$J$21,MATCH('Worked Example (post TCR) floor'!$C32,'Data Tables'!$C$7:$C$20,0),MATCH('Worked Example (post TCR) floor'!E$12,'Data Tables'!$D$6:$J$6,0))</f>
        <v>-28.437799714589204</v>
      </c>
      <c r="F32" s="49">
        <f>IF(D32+E32&lt;0,0,D32+E32)</f>
        <v>0</v>
      </c>
      <c r="G32" s="49">
        <f>F32*10^6</f>
        <v>0</v>
      </c>
      <c r="H32" s="50">
        <f>INDEX('Data Tables'!$D$7:$K$21,MATCH('Worked Example (post TCR) floor'!$C32,'Data Tables'!$C$7:$C$20,0),MATCH('Worked Example (post TCR) floor'!H$31,'Data Tables'!$D$6:$K$6,0))/10^3</f>
        <v>0.41614111459853187</v>
      </c>
      <c r="I32" s="49">
        <f>G32*H32</f>
        <v>0</v>
      </c>
    </row>
    <row r="33" spans="2:9" x14ac:dyDescent="0.25">
      <c r="B33" s="31">
        <v>2</v>
      </c>
      <c r="C33" s="32" t="s">
        <v>11</v>
      </c>
      <c r="D33" s="48">
        <f>INDEX('Data Tables'!$D$7:$J$21,MATCH('Worked Example (post TCR) floor'!$C33,'Data Tables'!$C$7:$C$20,0),MATCH('Worked Example (post TCR) floor'!D$12,'Data Tables'!$D$6:$J$6,0))</f>
        <v>-2.1467882916375296</v>
      </c>
      <c r="E33" s="48">
        <f>INDEX('Data Tables'!$D$7:$J$21,MATCH('Worked Example (post TCR) floor'!$C33,'Data Tables'!$C$7:$C$20,0),MATCH('Worked Example (post TCR) floor'!E$12,'Data Tables'!$D$6:$J$6,0))</f>
        <v>-20.8357503473697</v>
      </c>
      <c r="F33" s="49">
        <f t="shared" ref="F33:F45" si="3">IF(D33+E33&lt;0,0,D33+E33)</f>
        <v>0</v>
      </c>
      <c r="G33" s="49">
        <f t="shared" ref="G33:G45" si="4">F33*10^6</f>
        <v>0</v>
      </c>
      <c r="H33" s="50">
        <f>INDEX('Data Tables'!$D$7:$K$21,MATCH('Worked Example (post TCR) floor'!$C33,'Data Tables'!$C$7:$C$20,0),MATCH('Worked Example (post TCR) floor'!H$31,'Data Tables'!$D$6:$K$6,0))/10^3</f>
        <v>1.159011580351339</v>
      </c>
      <c r="I33" s="49">
        <f t="shared" ref="I33:I45" si="5">G33*H33</f>
        <v>0</v>
      </c>
    </row>
    <row r="34" spans="2:9" x14ac:dyDescent="0.25">
      <c r="B34" s="31">
        <v>3</v>
      </c>
      <c r="C34" s="32" t="s">
        <v>12</v>
      </c>
      <c r="D34" s="48">
        <f>INDEX('Data Tables'!$D$7:$J$21,MATCH('Worked Example (post TCR) floor'!$C34,'Data Tables'!$C$7:$C$20,0),MATCH('Worked Example (post TCR) floor'!D$12,'Data Tables'!$D$6:$J$6,0))</f>
        <v>-3.6192884308827087</v>
      </c>
      <c r="E34" s="48">
        <f>INDEX('Data Tables'!$D$7:$J$21,MATCH('Worked Example (post TCR) floor'!$C34,'Data Tables'!$C$7:$C$20,0),MATCH('Worked Example (post TCR) floor'!E$12,'Data Tables'!$D$6:$J$6,0))</f>
        <v>-8.0963697831774333</v>
      </c>
      <c r="F34" s="49">
        <f t="shared" si="3"/>
        <v>0</v>
      </c>
      <c r="G34" s="49">
        <f t="shared" si="4"/>
        <v>0</v>
      </c>
      <c r="H34" s="50">
        <f>INDEX('Data Tables'!$D$7:$K$21,MATCH('Worked Example (post TCR) floor'!$C34,'Data Tables'!$C$7:$C$20,0),MATCH('Worked Example (post TCR) floor'!H$31,'Data Tables'!$D$6:$K$6,0))/10^3</f>
        <v>0.98178685876961658</v>
      </c>
      <c r="I34" s="49">
        <f t="shared" si="5"/>
        <v>0</v>
      </c>
    </row>
    <row r="35" spans="2:9" x14ac:dyDescent="0.25">
      <c r="B35" s="31">
        <v>4</v>
      </c>
      <c r="C35" s="32" t="s">
        <v>13</v>
      </c>
      <c r="D35" s="48">
        <f>INDEX('Data Tables'!$D$7:$J$21,MATCH('Worked Example (post TCR) floor'!$C35,'Data Tables'!$C$7:$C$20,0),MATCH('Worked Example (post TCR) floor'!D$12,'Data Tables'!$D$6:$J$6,0))</f>
        <v>-1.6905020185892174</v>
      </c>
      <c r="E35" s="48">
        <f>INDEX('Data Tables'!$D$7:$J$21,MATCH('Worked Example (post TCR) floor'!$C35,'Data Tables'!$C$7:$C$20,0),MATCH('Worked Example (post TCR) floor'!E$12,'Data Tables'!$D$6:$J$6,0))</f>
        <v>-3.3694252819165991</v>
      </c>
      <c r="F35" s="49">
        <f t="shared" si="3"/>
        <v>0</v>
      </c>
      <c r="G35" s="49">
        <f t="shared" si="4"/>
        <v>0</v>
      </c>
      <c r="H35" s="50">
        <f>INDEX('Data Tables'!$D$7:$K$21,MATCH('Worked Example (post TCR) floor'!$C35,'Data Tables'!$C$7:$C$20,0),MATCH('Worked Example (post TCR) floor'!H$31,'Data Tables'!$D$6:$K$6,0))/10^3</f>
        <v>1.3755941659039252</v>
      </c>
      <c r="I35" s="49">
        <f t="shared" si="5"/>
        <v>0</v>
      </c>
    </row>
    <row r="36" spans="2:9" x14ac:dyDescent="0.25">
      <c r="B36" s="31">
        <v>5</v>
      </c>
      <c r="C36" s="32" t="s">
        <v>14</v>
      </c>
      <c r="D36" s="48">
        <f>INDEX('Data Tables'!$D$7:$J$21,MATCH('Worked Example (post TCR) floor'!$C36,'Data Tables'!$C$7:$C$20,0),MATCH('Worked Example (post TCR) floor'!D$12,'Data Tables'!$D$6:$J$6,0))</f>
        <v>-2.5257935925973745</v>
      </c>
      <c r="E36" s="48">
        <f>INDEX('Data Tables'!$D$7:$J$21,MATCH('Worked Example (post TCR) floor'!$C36,'Data Tables'!$C$7:$C$20,0),MATCH('Worked Example (post TCR) floor'!E$12,'Data Tables'!$D$6:$J$6,0))</f>
        <v>-1.373597256629165</v>
      </c>
      <c r="F36" s="49">
        <f t="shared" si="3"/>
        <v>0</v>
      </c>
      <c r="G36" s="49">
        <f t="shared" si="4"/>
        <v>0</v>
      </c>
      <c r="H36" s="50">
        <f>INDEX('Data Tables'!$D$7:$K$21,MATCH('Worked Example (post TCR) floor'!$C36,'Data Tables'!$C$7:$C$20,0),MATCH('Worked Example (post TCR) floor'!H$31,'Data Tables'!$D$6:$K$6,0))/10^3</f>
        <v>1.491230816394433</v>
      </c>
      <c r="I36" s="49">
        <f t="shared" si="5"/>
        <v>0</v>
      </c>
    </row>
    <row r="37" spans="2:9" x14ac:dyDescent="0.25">
      <c r="B37" s="31">
        <v>6</v>
      </c>
      <c r="C37" s="32" t="s">
        <v>15</v>
      </c>
      <c r="D37" s="48">
        <f>INDEX('Data Tables'!$D$7:$J$21,MATCH('Worked Example (post TCR) floor'!$C37,'Data Tables'!$C$7:$C$20,0),MATCH('Worked Example (post TCR) floor'!D$12,'Data Tables'!$D$6:$J$6,0))</f>
        <v>-1.8410137719105926</v>
      </c>
      <c r="E37" s="48">
        <f>INDEX('Data Tables'!$D$7:$J$21,MATCH('Worked Example (post TCR) floor'!$C37,'Data Tables'!$C$7:$C$20,0),MATCH('Worked Example (post TCR) floor'!E$12,'Data Tables'!$D$6:$J$6,0))</f>
        <v>-0.98761051494839514</v>
      </c>
      <c r="F37" s="49">
        <f t="shared" si="3"/>
        <v>0</v>
      </c>
      <c r="G37" s="49">
        <f t="shared" si="4"/>
        <v>0</v>
      </c>
      <c r="H37" s="50">
        <f>INDEX('Data Tables'!$D$7:$K$21,MATCH('Worked Example (post TCR) floor'!$C37,'Data Tables'!$C$7:$C$20,0),MATCH('Worked Example (post TCR) floor'!H$31,'Data Tables'!$D$6:$K$6,0))/10^3</f>
        <v>0.97587137246813094</v>
      </c>
      <c r="I37" s="49">
        <f t="shared" si="5"/>
        <v>0</v>
      </c>
    </row>
    <row r="38" spans="2:9" x14ac:dyDescent="0.25">
      <c r="B38" s="31">
        <v>7</v>
      </c>
      <c r="C38" s="32" t="s">
        <v>16</v>
      </c>
      <c r="D38" s="48">
        <f>INDEX('Data Tables'!$D$7:$J$21,MATCH('Worked Example (post TCR) floor'!$C38,'Data Tables'!$C$7:$C$20,0),MATCH('Worked Example (post TCR) floor'!D$12,'Data Tables'!$D$6:$J$6,0))</f>
        <v>-2.2445143032399533</v>
      </c>
      <c r="E38" s="48">
        <f>INDEX('Data Tables'!$D$7:$J$21,MATCH('Worked Example (post TCR) floor'!$C38,'Data Tables'!$C$7:$C$20,0),MATCH('Worked Example (post TCR) floor'!E$12,'Data Tables'!$D$6:$J$6,0))</f>
        <v>1.9000051499386192</v>
      </c>
      <c r="F38" s="49">
        <f t="shared" si="3"/>
        <v>0</v>
      </c>
      <c r="G38" s="49">
        <f t="shared" si="4"/>
        <v>0</v>
      </c>
      <c r="H38" s="50">
        <f>INDEX('Data Tables'!$D$7:$K$21,MATCH('Worked Example (post TCR) floor'!$C38,'Data Tables'!$C$7:$C$20,0),MATCH('Worked Example (post TCR) floor'!H$31,'Data Tables'!$D$6:$K$6,0))/10^3</f>
        <v>1.6761396968149262</v>
      </c>
      <c r="I38" s="49">
        <f t="shared" si="5"/>
        <v>0</v>
      </c>
    </row>
    <row r="39" spans="2:9" x14ac:dyDescent="0.25">
      <c r="B39" s="31">
        <v>8</v>
      </c>
      <c r="C39" s="32" t="s">
        <v>17</v>
      </c>
      <c r="D39" s="48">
        <f>INDEX('Data Tables'!$D$7:$J$21,MATCH('Worked Example (post TCR) floor'!$C39,'Data Tables'!$C$7:$C$20,0),MATCH('Worked Example (post TCR) floor'!D$12,'Data Tables'!$D$6:$J$6,0))</f>
        <v>-1.9271845725519481</v>
      </c>
      <c r="E39" s="48">
        <f>INDEX('Data Tables'!$D$7:$J$21,MATCH('Worked Example (post TCR) floor'!$C39,'Data Tables'!$C$7:$C$20,0),MATCH('Worked Example (post TCR) floor'!E$12,'Data Tables'!$D$6:$J$6,0))</f>
        <v>2.8437706866408097</v>
      </c>
      <c r="F39" s="49">
        <f t="shared" si="3"/>
        <v>0.91658611408886159</v>
      </c>
      <c r="G39" s="49">
        <f t="shared" si="4"/>
        <v>916586.11408886162</v>
      </c>
      <c r="H39" s="50">
        <f>INDEX('Data Tables'!$D$7:$K$21,MATCH('Worked Example (post TCR) floor'!$C39,'Data Tables'!$C$7:$C$20,0),MATCH('Worked Example (post TCR) floor'!H$31,'Data Tables'!$D$6:$K$6,0))/10^3</f>
        <v>1.4944853605303248</v>
      </c>
      <c r="I39" s="49">
        <f t="shared" si="5"/>
        <v>1369824.5291711818</v>
      </c>
    </row>
    <row r="40" spans="2:9" x14ac:dyDescent="0.25">
      <c r="B40" s="31">
        <v>9</v>
      </c>
      <c r="C40" s="32" t="s">
        <v>18</v>
      </c>
      <c r="D40" s="48">
        <f>INDEX('Data Tables'!$D$7:$J$21,MATCH('Worked Example (post TCR) floor'!$C40,'Data Tables'!$C$7:$C$20,0),MATCH('Worked Example (post TCR) floor'!D$12,'Data Tables'!$D$6:$J$6,0))</f>
        <v>1.390004908593919</v>
      </c>
      <c r="E40" s="48">
        <f>INDEX('Data Tables'!$D$7:$J$21,MATCH('Worked Example (post TCR) floor'!$C40,'Data Tables'!$C$7:$C$20,0),MATCH('Worked Example (post TCR) floor'!E$12,'Data Tables'!$D$6:$J$6,0))</f>
        <v>0.36697219078023358</v>
      </c>
      <c r="F40" s="49">
        <f t="shared" si="3"/>
        <v>1.7569770993741525</v>
      </c>
      <c r="G40" s="49">
        <f t="shared" si="4"/>
        <v>1756977.0993741525</v>
      </c>
      <c r="H40" s="50">
        <f>INDEX('Data Tables'!$D$7:$K$21,MATCH('Worked Example (post TCR) floor'!$C40,'Data Tables'!$C$7:$C$20,0),MATCH('Worked Example (post TCR) floor'!H$31,'Data Tables'!$D$6:$K$6,0))/10^3</f>
        <v>1.9689646687663362</v>
      </c>
      <c r="I40" s="49">
        <f t="shared" si="5"/>
        <v>3459425.8324992666</v>
      </c>
    </row>
    <row r="41" spans="2:9" x14ac:dyDescent="0.25">
      <c r="B41" s="31">
        <v>10</v>
      </c>
      <c r="C41" s="32" t="s">
        <v>19</v>
      </c>
      <c r="D41" s="48">
        <f>INDEX('Data Tables'!$D$7:$J$21,MATCH('Worked Example (post TCR) floor'!$C41,'Data Tables'!$C$7:$C$20,0),MATCH('Worked Example (post TCR) floor'!D$12,'Data Tables'!$D$6:$J$6,0))</f>
        <v>-6.027019451686221</v>
      </c>
      <c r="E41" s="48">
        <f>INDEX('Data Tables'!$D$7:$J$21,MATCH('Worked Example (post TCR) floor'!$C41,'Data Tables'!$C$7:$C$20,0),MATCH('Worked Example (post TCR) floor'!E$12,'Data Tables'!$D$6:$J$6,0))</f>
        <v>4.9080195416158858</v>
      </c>
      <c r="F41" s="49">
        <f t="shared" si="3"/>
        <v>0</v>
      </c>
      <c r="G41" s="49">
        <f t="shared" si="4"/>
        <v>0</v>
      </c>
      <c r="H41" s="50">
        <f>INDEX('Data Tables'!$D$7:$K$21,MATCH('Worked Example (post TCR) floor'!$C41,'Data Tables'!$C$7:$C$20,0),MATCH('Worked Example (post TCR) floor'!H$31,'Data Tables'!$D$6:$K$6,0))/10^3</f>
        <v>0.7568798455863972</v>
      </c>
      <c r="I41" s="49">
        <f t="shared" si="5"/>
        <v>0</v>
      </c>
    </row>
    <row r="42" spans="2:9" x14ac:dyDescent="0.25">
      <c r="B42" s="31">
        <v>11</v>
      </c>
      <c r="C42" s="32" t="s">
        <v>20</v>
      </c>
      <c r="D42" s="48">
        <f>INDEX('Data Tables'!$D$7:$J$21,MATCH('Worked Example (post TCR) floor'!$C42,'Data Tables'!$C$7:$C$20,0),MATCH('Worked Example (post TCR) floor'!D$12,'Data Tables'!$D$6:$J$6,0))</f>
        <v>3.9083843934026974</v>
      </c>
      <c r="E42" s="48">
        <f>INDEX('Data Tables'!$D$7:$J$21,MATCH('Worked Example (post TCR) floor'!$C42,'Data Tables'!$C$7:$C$20,0),MATCH('Worked Example (post TCR) floor'!E$12,'Data Tables'!$D$6:$J$6,0))</f>
        <v>0.86337577449396297</v>
      </c>
      <c r="F42" s="49">
        <f t="shared" si="3"/>
        <v>4.7717601678966606</v>
      </c>
      <c r="G42" s="49">
        <f t="shared" si="4"/>
        <v>4771760.167896661</v>
      </c>
      <c r="H42" s="50">
        <f>INDEX('Data Tables'!$D$7:$K$21,MATCH('Worked Example (post TCR) floor'!$C42,'Data Tables'!$C$7:$C$20,0),MATCH('Worked Example (post TCR) floor'!H$31,'Data Tables'!$D$6:$K$6,0))/10^3</f>
        <v>1.0961280382935006</v>
      </c>
      <c r="I42" s="49">
        <f t="shared" si="5"/>
        <v>5230460.1120436322</v>
      </c>
    </row>
    <row r="43" spans="2:9" x14ac:dyDescent="0.25">
      <c r="B43" s="31">
        <v>12</v>
      </c>
      <c r="C43" s="32" t="s">
        <v>21</v>
      </c>
      <c r="D43" s="48">
        <f>INDEX('Data Tables'!$D$7:$J$21,MATCH('Worked Example (post TCR) floor'!$C43,'Data Tables'!$C$7:$C$20,0),MATCH('Worked Example (post TCR) floor'!D$12,'Data Tables'!$D$6:$J$6,0))</f>
        <v>5.7788014503436615</v>
      </c>
      <c r="E43" s="48">
        <f>INDEX('Data Tables'!$D$7:$J$21,MATCH('Worked Example (post TCR) floor'!$C43,'Data Tables'!$C$7:$C$20,0),MATCH('Worked Example (post TCR) floor'!E$12,'Data Tables'!$D$6:$J$6,0))</f>
        <v>1.7593821463569452</v>
      </c>
      <c r="F43" s="49">
        <f t="shared" si="3"/>
        <v>7.5381835967006072</v>
      </c>
      <c r="G43" s="49">
        <f t="shared" si="4"/>
        <v>7538183.5967006069</v>
      </c>
      <c r="H43" s="50">
        <f>INDEX('Data Tables'!$D$7:$K$21,MATCH('Worked Example (post TCR) floor'!$C43,'Data Tables'!$C$7:$C$20,0),MATCH('Worked Example (post TCR) floor'!H$31,'Data Tables'!$D$6:$K$6,0))/10^3</f>
        <v>2.1045728522134834</v>
      </c>
      <c r="I43" s="49">
        <f t="shared" si="5"/>
        <v>15864656.552617092</v>
      </c>
    </row>
    <row r="44" spans="2:9" x14ac:dyDescent="0.25">
      <c r="B44" s="31">
        <v>13</v>
      </c>
      <c r="C44" s="32" t="s">
        <v>22</v>
      </c>
      <c r="D44" s="48">
        <f>INDEX('Data Tables'!$D$7:$J$21,MATCH('Worked Example (post TCR) floor'!$C44,'Data Tables'!$C$7:$C$20,0),MATCH('Worked Example (post TCR) floor'!D$12,'Data Tables'!$D$6:$J$6,0))</f>
        <v>1.9753704754688934</v>
      </c>
      <c r="E44" s="48">
        <f>INDEX('Data Tables'!$D$7:$J$21,MATCH('Worked Example (post TCR) floor'!$C44,'Data Tables'!$C$7:$C$20,0),MATCH('Worked Example (post TCR) floor'!E$12,'Data Tables'!$D$6:$J$6,0))</f>
        <v>4.0675412691681183</v>
      </c>
      <c r="F44" s="49">
        <f t="shared" si="3"/>
        <v>6.0429117446370118</v>
      </c>
      <c r="G44" s="49">
        <f t="shared" si="4"/>
        <v>6042911.7446370116</v>
      </c>
      <c r="H44" s="50">
        <f>INDEX('Data Tables'!$D$7:$K$21,MATCH('Worked Example (post TCR) floor'!$C44,'Data Tables'!$C$7:$C$20,0),MATCH('Worked Example (post TCR) floor'!H$31,'Data Tables'!$D$6:$K$6,0))/10^3</f>
        <v>1.9257689253900272</v>
      </c>
      <c r="I44" s="49">
        <f t="shared" si="5"/>
        <v>11637251.656696392</v>
      </c>
    </row>
    <row r="45" spans="2:9" x14ac:dyDescent="0.25">
      <c r="B45" s="42">
        <v>14</v>
      </c>
      <c r="C45" s="43" t="s">
        <v>23</v>
      </c>
      <c r="D45" s="48">
        <f>INDEX('Data Tables'!$D$7:$J$21,MATCH('Worked Example (post TCR) floor'!$C45,'Data Tables'!$C$7:$C$20,0),MATCH('Worked Example (post TCR) floor'!D$12,'Data Tables'!$D$6:$J$6,0))</f>
        <v>-0.46628055470744928</v>
      </c>
      <c r="E45" s="48">
        <f>INDEX('Data Tables'!$D$7:$J$21,MATCH('Worked Example (post TCR) floor'!$C45,'Data Tables'!$C$7:$C$20,0),MATCH('Worked Example (post TCR) floor'!E$12,'Data Tables'!$D$6:$J$6,0))</f>
        <v>5.7568321935352209</v>
      </c>
      <c r="F45" s="49">
        <f t="shared" si="3"/>
        <v>5.2905516388277718</v>
      </c>
      <c r="G45" s="49">
        <f t="shared" si="4"/>
        <v>5290551.6388277719</v>
      </c>
      <c r="H45" s="50">
        <f>INDEX('Data Tables'!$D$7:$K$21,MATCH('Worked Example (post TCR) floor'!$C45,'Data Tables'!$C$7:$C$20,0),MATCH('Worked Example (post TCR) floor'!H$31,'Data Tables'!$D$6:$K$6,0))/10^3</f>
        <v>0.69612244391902645</v>
      </c>
      <c r="I45" s="49">
        <f t="shared" si="5"/>
        <v>3682871.736500599</v>
      </c>
    </row>
    <row r="46" spans="2:9" x14ac:dyDescent="0.25">
      <c r="B46" s="32"/>
      <c r="C46" s="44" t="s">
        <v>40</v>
      </c>
      <c r="D46" s="32"/>
      <c r="E46" s="32"/>
      <c r="F46" s="32"/>
      <c r="G46" s="32"/>
      <c r="H46" s="45">
        <f>SUM(H32:H45)</f>
        <v>18.118697739999998</v>
      </c>
      <c r="I46" s="46">
        <f>SUM(I32:I45)</f>
        <v>41244490.419528164</v>
      </c>
    </row>
    <row r="48" spans="2:9" ht="15.75" x14ac:dyDescent="0.25">
      <c r="B48" s="29" t="s">
        <v>60</v>
      </c>
    </row>
    <row r="49" spans="2:6" ht="45" x14ac:dyDescent="0.25">
      <c r="B49" s="71" t="s">
        <v>8</v>
      </c>
      <c r="C49" s="71"/>
      <c r="D49" s="47" t="s">
        <v>39</v>
      </c>
      <c r="E49" s="47" t="s">
        <v>42</v>
      </c>
      <c r="F49" s="47" t="s">
        <v>43</v>
      </c>
    </row>
    <row r="50" spans="2:6" x14ac:dyDescent="0.25">
      <c r="B50" s="31">
        <v>1</v>
      </c>
      <c r="C50" s="32" t="s">
        <v>10</v>
      </c>
      <c r="D50" s="49">
        <f>I13</f>
        <v>-45010651.641603887</v>
      </c>
      <c r="E50" s="49">
        <f>I32</f>
        <v>0</v>
      </c>
      <c r="F50" s="49">
        <f>IF(D50-E50&lt;0,0,D50-E50)</f>
        <v>0</v>
      </c>
    </row>
    <row r="51" spans="2:6" x14ac:dyDescent="0.25">
      <c r="B51" s="31">
        <v>2</v>
      </c>
      <c r="C51" s="32" t="s">
        <v>11</v>
      </c>
      <c r="D51" s="49">
        <f t="shared" ref="D51:D64" si="6">I14</f>
        <v>-77221329.827064291</v>
      </c>
      <c r="E51" s="49">
        <f t="shared" ref="E51:E64" si="7">I33</f>
        <v>0</v>
      </c>
      <c r="F51" s="49">
        <f t="shared" ref="F51:F63" si="8">IF(D51-E51&lt;0,0,D51-E51)</f>
        <v>0</v>
      </c>
    </row>
    <row r="52" spans="2:6" x14ac:dyDescent="0.25">
      <c r="B52" s="31">
        <v>3</v>
      </c>
      <c r="C52" s="32" t="s">
        <v>12</v>
      </c>
      <c r="D52" s="49">
        <f t="shared" si="6"/>
        <v>-29406302.117290951</v>
      </c>
      <c r="E52" s="49">
        <f t="shared" si="7"/>
        <v>0</v>
      </c>
      <c r="F52" s="49">
        <f t="shared" si="8"/>
        <v>0</v>
      </c>
    </row>
    <row r="53" spans="2:6" x14ac:dyDescent="0.25">
      <c r="B53" s="31">
        <v>4</v>
      </c>
      <c r="C53" s="32" t="s">
        <v>13</v>
      </c>
      <c r="D53" s="49">
        <f t="shared" si="6"/>
        <v>-19986712.836997978</v>
      </c>
      <c r="E53" s="49">
        <f t="shared" si="7"/>
        <v>0</v>
      </c>
      <c r="F53" s="49">
        <f t="shared" si="8"/>
        <v>0</v>
      </c>
    </row>
    <row r="54" spans="2:6" x14ac:dyDescent="0.25">
      <c r="B54" s="31">
        <v>5</v>
      </c>
      <c r="C54" s="32" t="s">
        <v>14</v>
      </c>
      <c r="D54" s="49">
        <f t="shared" si="6"/>
        <v>-14700703.501584053</v>
      </c>
      <c r="E54" s="49">
        <f t="shared" si="7"/>
        <v>0</v>
      </c>
      <c r="F54" s="49">
        <f t="shared" si="8"/>
        <v>0</v>
      </c>
    </row>
    <row r="55" spans="2:6" x14ac:dyDescent="0.25">
      <c r="B55" s="31">
        <v>6</v>
      </c>
      <c r="C55" s="32" t="s">
        <v>15</v>
      </c>
      <c r="D55" s="49">
        <f t="shared" si="6"/>
        <v>-7269564.4172275979</v>
      </c>
      <c r="E55" s="49">
        <f t="shared" si="7"/>
        <v>0</v>
      </c>
      <c r="F55" s="49">
        <f t="shared" si="8"/>
        <v>0</v>
      </c>
    </row>
    <row r="56" spans="2:6" x14ac:dyDescent="0.25">
      <c r="B56" s="31">
        <v>7</v>
      </c>
      <c r="C56" s="32" t="s">
        <v>16</v>
      </c>
      <c r="D56" s="49">
        <f t="shared" si="6"/>
        <v>-1581297.0136531231</v>
      </c>
      <c r="E56" s="49">
        <f t="shared" si="7"/>
        <v>0</v>
      </c>
      <c r="F56" s="49">
        <f t="shared" si="8"/>
        <v>0</v>
      </c>
    </row>
    <row r="57" spans="2:6" x14ac:dyDescent="0.25">
      <c r="B57" s="31">
        <v>8</v>
      </c>
      <c r="C57" s="32" t="s">
        <v>17</v>
      </c>
      <c r="D57" s="49">
        <f t="shared" si="6"/>
        <v>3822164.0957505531</v>
      </c>
      <c r="E57" s="49">
        <f t="shared" si="7"/>
        <v>1369824.5291711818</v>
      </c>
      <c r="F57" s="49">
        <f t="shared" si="8"/>
        <v>2452339.5665793712</v>
      </c>
    </row>
    <row r="58" spans="2:6" x14ac:dyDescent="0.25">
      <c r="B58" s="31">
        <v>9</v>
      </c>
      <c r="C58" s="32" t="s">
        <v>18</v>
      </c>
      <c r="D58" s="49">
        <f t="shared" si="6"/>
        <v>11139234.810032127</v>
      </c>
      <c r="E58" s="49">
        <f t="shared" si="7"/>
        <v>3459425.8324992666</v>
      </c>
      <c r="F58" s="49">
        <f t="shared" si="8"/>
        <v>7679808.9775328608</v>
      </c>
    </row>
    <row r="59" spans="2:6" x14ac:dyDescent="0.25">
      <c r="B59" s="31">
        <v>10</v>
      </c>
      <c r="C59" s="32" t="s">
        <v>19</v>
      </c>
      <c r="D59" s="49">
        <f t="shared" si="6"/>
        <v>-1991819.8399251967</v>
      </c>
      <c r="E59" s="49">
        <f t="shared" si="7"/>
        <v>0</v>
      </c>
      <c r="F59" s="49">
        <f t="shared" si="8"/>
        <v>0</v>
      </c>
    </row>
    <row r="60" spans="2:6" x14ac:dyDescent="0.25">
      <c r="B60" s="31">
        <v>11</v>
      </c>
      <c r="C60" s="32" t="s">
        <v>20</v>
      </c>
      <c r="D60" s="49">
        <f t="shared" si="6"/>
        <v>18275841.443044212</v>
      </c>
      <c r="E60" s="49">
        <f t="shared" si="7"/>
        <v>5230460.1120436322</v>
      </c>
      <c r="F60" s="49">
        <f t="shared" si="8"/>
        <v>13045381.33100058</v>
      </c>
    </row>
    <row r="61" spans="2:6" x14ac:dyDescent="0.25">
      <c r="B61" s="31">
        <v>12</v>
      </c>
      <c r="C61" s="32" t="s">
        <v>21</v>
      </c>
      <c r="D61" s="49">
        <f t="shared" si="6"/>
        <v>31057316.418406501</v>
      </c>
      <c r="E61" s="49">
        <f t="shared" si="7"/>
        <v>15864656.552617092</v>
      </c>
      <c r="F61" s="49">
        <f t="shared" si="8"/>
        <v>15192659.86578941</v>
      </c>
    </row>
    <row r="62" spans="2:6" x14ac:dyDescent="0.25">
      <c r="B62" s="31">
        <v>13</v>
      </c>
      <c r="C62" s="32" t="s">
        <v>22</v>
      </c>
      <c r="D62" s="49">
        <f t="shared" si="6"/>
        <v>32571294.30359349</v>
      </c>
      <c r="E62" s="49">
        <f t="shared" si="7"/>
        <v>11637251.656696392</v>
      </c>
      <c r="F62" s="49">
        <f t="shared" si="8"/>
        <v>20934042.6468971</v>
      </c>
    </row>
    <row r="63" spans="2:6" x14ac:dyDescent="0.25">
      <c r="B63" s="42">
        <v>14</v>
      </c>
      <c r="C63" s="43" t="s">
        <v>23</v>
      </c>
      <c r="D63" s="49">
        <f t="shared" si="6"/>
        <v>13490906.679010818</v>
      </c>
      <c r="E63" s="49">
        <f t="shared" si="7"/>
        <v>3682871.736500599</v>
      </c>
      <c r="F63" s="49">
        <f t="shared" si="8"/>
        <v>9808034.9425102193</v>
      </c>
    </row>
    <row r="64" spans="2:6" x14ac:dyDescent="0.25">
      <c r="B64" s="32"/>
      <c r="C64" s="44" t="s">
        <v>40</v>
      </c>
      <c r="D64" s="49">
        <f t="shared" si="6"/>
        <v>-86811623.445509404</v>
      </c>
      <c r="E64" s="49">
        <f t="shared" si="7"/>
        <v>41244490.419528164</v>
      </c>
      <c r="F64" s="49">
        <f>SUM(F50:F63)</f>
        <v>69112267.33030954</v>
      </c>
    </row>
    <row r="66" spans="2:7" ht="15.75" x14ac:dyDescent="0.25">
      <c r="B66" s="29" t="s">
        <v>61</v>
      </c>
    </row>
    <row r="67" spans="2:7" ht="45" x14ac:dyDescent="0.25">
      <c r="B67" s="72" t="s">
        <v>8</v>
      </c>
      <c r="C67" s="73"/>
      <c r="D67" s="47" t="s">
        <v>43</v>
      </c>
      <c r="E67" s="47" t="s">
        <v>35</v>
      </c>
      <c r="F67" s="47" t="s">
        <v>44</v>
      </c>
      <c r="G67" s="52" t="s">
        <v>45</v>
      </c>
    </row>
    <row r="68" spans="2:7" x14ac:dyDescent="0.25">
      <c r="B68" s="31">
        <v>1</v>
      </c>
      <c r="C68" s="32" t="s">
        <v>10</v>
      </c>
      <c r="D68" s="49">
        <f>F50</f>
        <v>0</v>
      </c>
      <c r="E68" s="51">
        <f>INDEX('Data Tables'!$D$7:$J$21,MATCH('Worked Example (post TCR) floor'!$C68,'Data Tables'!$C$7:$C$20,0),MATCH(E$67,'Data Tables'!$D$6:$J$6,0))</f>
        <v>0.78396292555975933</v>
      </c>
      <c r="F68" s="53">
        <f>E68*10^6</f>
        <v>783962.92555975937</v>
      </c>
      <c r="G68" s="54">
        <f>D68/F68</f>
        <v>0</v>
      </c>
    </row>
    <row r="69" spans="2:7" x14ac:dyDescent="0.25">
      <c r="B69" s="31">
        <v>2</v>
      </c>
      <c r="C69" s="32" t="s">
        <v>11</v>
      </c>
      <c r="D69" s="49">
        <f t="shared" ref="D69:D82" si="9">F51</f>
        <v>0</v>
      </c>
      <c r="E69" s="51">
        <f>INDEX('Data Tables'!$D$7:$J$21,MATCH('Worked Example (post TCR) floor'!$C69,'Data Tables'!$C$7:$C$20,0),MATCH(E$67,'Data Tables'!$D$6:$J$6,0))</f>
        <v>1.7161040013352449</v>
      </c>
      <c r="F69" s="53">
        <f t="shared" ref="F69:F81" si="10">E69*10^6</f>
        <v>1716104.0013352449</v>
      </c>
      <c r="G69" s="54">
        <f t="shared" ref="G69:G81" si="11">D69/F69</f>
        <v>0</v>
      </c>
    </row>
    <row r="70" spans="2:7" x14ac:dyDescent="0.25">
      <c r="B70" s="31">
        <v>3</v>
      </c>
      <c r="C70" s="32" t="s">
        <v>12</v>
      </c>
      <c r="D70" s="49">
        <f t="shared" si="9"/>
        <v>0</v>
      </c>
      <c r="E70" s="51">
        <f>INDEX('Data Tables'!$D$7:$J$21,MATCH('Worked Example (post TCR) floor'!$C70,'Data Tables'!$C$7:$C$20,0),MATCH(E$67,'Data Tables'!$D$6:$J$6,0))</f>
        <v>1.2155985985422018</v>
      </c>
      <c r="F70" s="53">
        <f t="shared" si="10"/>
        <v>1215598.5985422018</v>
      </c>
      <c r="G70" s="54">
        <f t="shared" si="11"/>
        <v>0</v>
      </c>
    </row>
    <row r="71" spans="2:7" x14ac:dyDescent="0.25">
      <c r="B71" s="31">
        <v>4</v>
      </c>
      <c r="C71" s="32" t="s">
        <v>13</v>
      </c>
      <c r="D71" s="49">
        <f t="shared" si="9"/>
        <v>0</v>
      </c>
      <c r="E71" s="51">
        <f>INDEX('Data Tables'!$D$7:$J$21,MATCH('Worked Example (post TCR) floor'!$C71,'Data Tables'!$C$7:$C$20,0),MATCH(E$67,'Data Tables'!$D$6:$J$6,0))</f>
        <v>2.0030922732591225</v>
      </c>
      <c r="F71" s="53">
        <f t="shared" si="10"/>
        <v>2003092.2732591226</v>
      </c>
      <c r="G71" s="54">
        <f t="shared" si="11"/>
        <v>0</v>
      </c>
    </row>
    <row r="72" spans="2:7" x14ac:dyDescent="0.25">
      <c r="B72" s="31">
        <v>5</v>
      </c>
      <c r="C72" s="32" t="s">
        <v>14</v>
      </c>
      <c r="D72" s="49">
        <f t="shared" si="9"/>
        <v>0</v>
      </c>
      <c r="E72" s="51">
        <f>INDEX('Data Tables'!$D$7:$J$21,MATCH('Worked Example (post TCR) floor'!$C72,'Data Tables'!$C$7:$C$20,0),MATCH(E$67,'Data Tables'!$D$6:$J$6,0))</f>
        <v>1.8281020333130364</v>
      </c>
      <c r="F72" s="53">
        <f t="shared" si="10"/>
        <v>1828102.0333130364</v>
      </c>
      <c r="G72" s="54">
        <f t="shared" si="11"/>
        <v>0</v>
      </c>
    </row>
    <row r="73" spans="2:7" x14ac:dyDescent="0.25">
      <c r="B73" s="31">
        <v>6</v>
      </c>
      <c r="C73" s="32" t="s">
        <v>15</v>
      </c>
      <c r="D73" s="49">
        <f t="shared" si="9"/>
        <v>0</v>
      </c>
      <c r="E73" s="51">
        <f>INDEX('Data Tables'!$D$7:$J$21,MATCH('Worked Example (post TCR) floor'!$C73,'Data Tables'!$C$7:$C$20,0),MATCH(E$67,'Data Tables'!$D$6:$J$6,0))</f>
        <v>1.274585619554172</v>
      </c>
      <c r="F73" s="53">
        <f t="shared" si="10"/>
        <v>1274585.619554172</v>
      </c>
      <c r="G73" s="54">
        <f t="shared" si="11"/>
        <v>0</v>
      </c>
    </row>
    <row r="74" spans="2:7" x14ac:dyDescent="0.25">
      <c r="B74" s="31">
        <v>7</v>
      </c>
      <c r="C74" s="32" t="s">
        <v>16</v>
      </c>
      <c r="D74" s="49">
        <f t="shared" si="9"/>
        <v>0</v>
      </c>
      <c r="E74" s="51">
        <f>INDEX('Data Tables'!$D$7:$J$21,MATCH('Worked Example (post TCR) floor'!$C74,'Data Tables'!$C$7:$C$20,0),MATCH(E$67,'Data Tables'!$D$6:$J$6,0))</f>
        <v>2.2713699044785209</v>
      </c>
      <c r="F74" s="53">
        <f t="shared" si="10"/>
        <v>2271369.9044785211</v>
      </c>
      <c r="G74" s="54">
        <f t="shared" si="11"/>
        <v>0</v>
      </c>
    </row>
    <row r="75" spans="2:7" x14ac:dyDescent="0.25">
      <c r="B75" s="31">
        <v>8</v>
      </c>
      <c r="C75" s="32" t="s">
        <v>17</v>
      </c>
      <c r="D75" s="49">
        <f t="shared" si="9"/>
        <v>2452339.5665793712</v>
      </c>
      <c r="E75" s="51">
        <f>INDEX('Data Tables'!$D$7:$J$21,MATCH('Worked Example (post TCR) floor'!$C75,'Data Tables'!$C$7:$C$20,0),MATCH(E$67,'Data Tables'!$D$6:$J$6,0))</f>
        <v>2.0592835000974561</v>
      </c>
      <c r="F75" s="53">
        <f t="shared" si="10"/>
        <v>2059283.5000974562</v>
      </c>
      <c r="G75" s="54">
        <f t="shared" si="11"/>
        <v>1.1908703034153936</v>
      </c>
    </row>
    <row r="76" spans="2:7" x14ac:dyDescent="0.25">
      <c r="B76" s="31">
        <v>9</v>
      </c>
      <c r="C76" s="32" t="s">
        <v>18</v>
      </c>
      <c r="D76" s="49">
        <f t="shared" si="9"/>
        <v>7679808.9775328608</v>
      </c>
      <c r="E76" s="51">
        <f>INDEX('Data Tables'!$D$7:$J$21,MATCH('Worked Example (post TCR) floor'!$C76,'Data Tables'!$C$7:$C$20,0),MATCH(E$67,'Data Tables'!$D$6:$J$6,0))</f>
        <v>3.2163959907504638</v>
      </c>
      <c r="F76" s="53">
        <f t="shared" si="10"/>
        <v>3216395.9907504637</v>
      </c>
      <c r="G76" s="54">
        <f t="shared" si="11"/>
        <v>2.3877063022146641</v>
      </c>
    </row>
    <row r="77" spans="2:7" x14ac:dyDescent="0.25">
      <c r="B77" s="31">
        <v>10</v>
      </c>
      <c r="C77" s="32" t="s">
        <v>19</v>
      </c>
      <c r="D77" s="49">
        <f t="shared" si="9"/>
        <v>0</v>
      </c>
      <c r="E77" s="51">
        <f>INDEX('Data Tables'!$D$7:$J$21,MATCH('Worked Example (post TCR) floor'!$C77,'Data Tables'!$C$7:$C$20,0),MATCH(E$67,'Data Tables'!$D$6:$J$6,0))</f>
        <v>0.870643135071964</v>
      </c>
      <c r="F77" s="53">
        <f t="shared" si="10"/>
        <v>870643.135071964</v>
      </c>
      <c r="G77" s="54">
        <f t="shared" si="11"/>
        <v>0</v>
      </c>
    </row>
    <row r="78" spans="2:7" x14ac:dyDescent="0.25">
      <c r="B78" s="31">
        <v>11</v>
      </c>
      <c r="C78" s="32" t="s">
        <v>20</v>
      </c>
      <c r="D78" s="49">
        <f t="shared" si="9"/>
        <v>13045381.33100058</v>
      </c>
      <c r="E78" s="51">
        <f>INDEX('Data Tables'!$D$7:$J$21,MATCH('Worked Example (post TCR) floor'!$C78,'Data Tables'!$C$7:$C$20,0),MATCH(E$67,'Data Tables'!$D$6:$J$6,0))</f>
        <v>1.9868004181200176</v>
      </c>
      <c r="F78" s="53">
        <f t="shared" si="10"/>
        <v>1986800.4181200175</v>
      </c>
      <c r="G78" s="54">
        <f t="shared" si="11"/>
        <v>6.5660250581910953</v>
      </c>
    </row>
    <row r="79" spans="2:7" x14ac:dyDescent="0.25">
      <c r="B79" s="31">
        <v>12</v>
      </c>
      <c r="C79" s="32" t="s">
        <v>21</v>
      </c>
      <c r="D79" s="49">
        <f t="shared" si="9"/>
        <v>15192659.86578941</v>
      </c>
      <c r="E79" s="51">
        <f>INDEX('Data Tables'!$D$7:$J$21,MATCH('Worked Example (post TCR) floor'!$C79,'Data Tables'!$C$7:$C$20,0),MATCH(E$67,'Data Tables'!$D$6:$J$6,0))</f>
        <v>1.8792216471598735</v>
      </c>
      <c r="F79" s="53">
        <f t="shared" si="10"/>
        <v>1879221.6471598735</v>
      </c>
      <c r="G79" s="54">
        <f t="shared" si="11"/>
        <v>8.0845492008622575</v>
      </c>
    </row>
    <row r="80" spans="2:7" x14ac:dyDescent="0.25">
      <c r="B80" s="31">
        <v>13</v>
      </c>
      <c r="C80" s="32" t="s">
        <v>22</v>
      </c>
      <c r="D80" s="49">
        <f t="shared" si="9"/>
        <v>20934042.6468971</v>
      </c>
      <c r="E80" s="51">
        <f>INDEX('Data Tables'!$D$7:$J$21,MATCH('Worked Example (post TCR) floor'!$C80,'Data Tables'!$C$7:$C$20,0),MATCH(E$67,'Data Tables'!$D$6:$J$6,0))</f>
        <v>2.6761765435234901</v>
      </c>
      <c r="F80" s="53">
        <f t="shared" si="10"/>
        <v>2676176.54352349</v>
      </c>
      <c r="G80" s="54">
        <f t="shared" si="11"/>
        <v>7.8223698274161908</v>
      </c>
    </row>
    <row r="81" spans="1:7" x14ac:dyDescent="0.25">
      <c r="B81" s="42">
        <v>14</v>
      </c>
      <c r="C81" s="43" t="s">
        <v>23</v>
      </c>
      <c r="D81" s="49">
        <f t="shared" si="9"/>
        <v>9808034.9425102193</v>
      </c>
      <c r="E81" s="51">
        <f>INDEX('Data Tables'!$D$7:$J$21,MATCH('Worked Example (post TCR) floor'!$C81,'Data Tables'!$C$7:$C$20,0),MATCH(E$67,'Data Tables'!$D$6:$J$6,0))</f>
        <v>1.3450809342346726</v>
      </c>
      <c r="F81" s="53">
        <f t="shared" si="10"/>
        <v>1345080.9342346725</v>
      </c>
      <c r="G81" s="54">
        <f t="shared" si="11"/>
        <v>7.2917805114015835</v>
      </c>
    </row>
    <row r="82" spans="1:7" x14ac:dyDescent="0.25">
      <c r="B82" s="32"/>
      <c r="C82" s="44" t="s">
        <v>40</v>
      </c>
      <c r="D82" s="46">
        <f t="shared" si="9"/>
        <v>69112267.33030954</v>
      </c>
      <c r="E82" s="55">
        <f>SUM(E68:E81)</f>
        <v>25.126417524999997</v>
      </c>
      <c r="F82" s="56">
        <f>SUM(F68:F81)</f>
        <v>25126417.524999995</v>
      </c>
    </row>
    <row r="84" spans="1:7" ht="15.75" x14ac:dyDescent="0.25">
      <c r="B84" s="29" t="s">
        <v>62</v>
      </c>
    </row>
    <row r="85" spans="1:7" ht="65.25" customHeight="1" x14ac:dyDescent="0.25">
      <c r="B85" s="40" t="s">
        <v>46</v>
      </c>
      <c r="C85" s="28">
        <f>I46</f>
        <v>41244490.419528164</v>
      </c>
      <c r="D85" s="74" t="s">
        <v>65</v>
      </c>
    </row>
    <row r="86" spans="1:7" ht="54.75" customHeight="1" x14ac:dyDescent="0.25">
      <c r="B86" s="40" t="s">
        <v>47</v>
      </c>
      <c r="C86" s="28">
        <f>D82</f>
        <v>69112267.33030954</v>
      </c>
      <c r="D86" s="74"/>
    </row>
    <row r="88" spans="1:7" ht="33" customHeight="1" x14ac:dyDescent="0.25">
      <c r="B88" s="40" t="s">
        <v>49</v>
      </c>
      <c r="C88" s="28">
        <f>C86+C85</f>
        <v>110356757.7498377</v>
      </c>
    </row>
    <row r="90" spans="1:7" ht="15.75" x14ac:dyDescent="0.25">
      <c r="B90" s="29" t="s">
        <v>50</v>
      </c>
    </row>
    <row r="91" spans="1:7" ht="15.75" x14ac:dyDescent="0.25">
      <c r="B91" s="57">
        <f>C9</f>
        <v>2544500000</v>
      </c>
    </row>
    <row r="92" spans="1:7" ht="15.75" x14ac:dyDescent="0.25">
      <c r="A92" s="58" t="s">
        <v>51</v>
      </c>
      <c r="B92" s="57">
        <f>C88</f>
        <v>110356757.7498377</v>
      </c>
    </row>
    <row r="93" spans="1:7" ht="15.75" x14ac:dyDescent="0.25">
      <c r="B93" s="57">
        <f>B91-B92</f>
        <v>2434143242.2501621</v>
      </c>
    </row>
    <row r="95" spans="1:7" ht="15.75" x14ac:dyDescent="0.25">
      <c r="B95" s="29" t="s">
        <v>63</v>
      </c>
    </row>
    <row r="96" spans="1:7" x14ac:dyDescent="0.25">
      <c r="B96" t="s">
        <v>52</v>
      </c>
    </row>
    <row r="97" spans="2:3" x14ac:dyDescent="0.25">
      <c r="B97" t="s">
        <v>53</v>
      </c>
    </row>
    <row r="100" spans="2:3" ht="15.75" x14ac:dyDescent="0.25">
      <c r="B100" s="29"/>
    </row>
    <row r="101" spans="2:3" x14ac:dyDescent="0.25">
      <c r="C101" s="27"/>
    </row>
    <row r="102" spans="2:3" x14ac:dyDescent="0.25">
      <c r="C102" s="27"/>
    </row>
    <row r="104" spans="2:3" x14ac:dyDescent="0.25">
      <c r="C104" s="60"/>
    </row>
  </sheetData>
  <mergeCells count="5">
    <mergeCell ref="B12:C12"/>
    <mergeCell ref="B31:C31"/>
    <mergeCell ref="B49:C49"/>
    <mergeCell ref="B67:C67"/>
    <mergeCell ref="D85:D8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workbookViewId="0">
      <selection activeCell="G6" sqref="G6"/>
    </sheetView>
  </sheetViews>
  <sheetFormatPr defaultRowHeight="15" x14ac:dyDescent="0.25"/>
  <cols>
    <col min="3" max="3" width="16.85546875" bestFit="1" customWidth="1"/>
    <col min="4" max="5" width="13.85546875" customWidth="1"/>
    <col min="6" max="6" width="11.5703125" customWidth="1"/>
    <col min="7" max="7" width="14.5703125" bestFit="1" customWidth="1"/>
    <col min="9" max="9" width="12.7109375" bestFit="1" customWidth="1"/>
    <col min="10" max="10" width="17" customWidth="1"/>
    <col min="11" max="11" width="33.85546875" bestFit="1" customWidth="1"/>
  </cols>
  <sheetData>
    <row r="1" spans="2:11" x14ac:dyDescent="0.25">
      <c r="B1" s="77" t="s">
        <v>32</v>
      </c>
      <c r="C1" s="77"/>
      <c r="D1" s="77"/>
      <c r="E1" s="77"/>
      <c r="F1" s="77"/>
      <c r="G1" s="77"/>
      <c r="H1" s="78" t="s">
        <v>54</v>
      </c>
      <c r="I1" s="78"/>
      <c r="J1" s="78"/>
      <c r="K1" s="63" t="s">
        <v>32</v>
      </c>
    </row>
    <row r="2" spans="2:11" ht="15.75" thickBot="1" x14ac:dyDescent="0.3">
      <c r="B2" s="75" t="s">
        <v>0</v>
      </c>
      <c r="C2" s="76"/>
      <c r="D2" s="76"/>
      <c r="E2" s="76"/>
      <c r="F2" s="76"/>
    </row>
    <row r="3" spans="2:11" x14ac:dyDescent="0.25">
      <c r="B3" s="1"/>
      <c r="C3" s="2"/>
      <c r="D3" s="3" t="s">
        <v>1</v>
      </c>
      <c r="E3" s="3" t="s">
        <v>1</v>
      </c>
      <c r="F3" s="3" t="s">
        <v>2</v>
      </c>
      <c r="G3" s="25"/>
      <c r="K3" s="64"/>
    </row>
    <row r="4" spans="2:11" x14ac:dyDescent="0.25">
      <c r="B4" s="4"/>
      <c r="C4" s="5"/>
      <c r="D4" s="6" t="s">
        <v>3</v>
      </c>
      <c r="E4" s="6" t="s">
        <v>4</v>
      </c>
      <c r="F4" s="6" t="s">
        <v>5</v>
      </c>
      <c r="G4" s="5" t="s">
        <v>24</v>
      </c>
      <c r="K4" s="65" t="s">
        <v>2</v>
      </c>
    </row>
    <row r="5" spans="2:11" x14ac:dyDescent="0.25">
      <c r="B5" s="4"/>
      <c r="C5" s="5"/>
      <c r="D5" s="6" t="s">
        <v>6</v>
      </c>
      <c r="E5" s="6" t="s">
        <v>6</v>
      </c>
      <c r="F5" s="6" t="s">
        <v>7</v>
      </c>
      <c r="G5" s="5" t="s">
        <v>25</v>
      </c>
      <c r="K5" s="65" t="s">
        <v>56</v>
      </c>
    </row>
    <row r="6" spans="2:11" ht="26.25" thickBot="1" x14ac:dyDescent="0.3">
      <c r="B6" s="7" t="s">
        <v>8</v>
      </c>
      <c r="C6" s="8" t="s">
        <v>9</v>
      </c>
      <c r="D6" s="6" t="s">
        <v>41</v>
      </c>
      <c r="E6" s="6" t="s">
        <v>36</v>
      </c>
      <c r="F6" s="6" t="s">
        <v>34</v>
      </c>
      <c r="G6" s="5" t="s">
        <v>35</v>
      </c>
      <c r="H6" s="36" t="s">
        <v>8</v>
      </c>
      <c r="I6" s="36" t="s">
        <v>30</v>
      </c>
      <c r="J6" s="37" t="s">
        <v>31</v>
      </c>
      <c r="K6" s="66" t="s">
        <v>64</v>
      </c>
    </row>
    <row r="7" spans="2:11" x14ac:dyDescent="0.25">
      <c r="B7" s="9">
        <v>1</v>
      </c>
      <c r="C7" s="10" t="s">
        <v>10</v>
      </c>
      <c r="D7" s="11">
        <f>E7-F7</f>
        <v>0.1399999999999999</v>
      </c>
      <c r="E7" s="12">
        <v>1.47</v>
      </c>
      <c r="F7" s="12">
        <v>1.33</v>
      </c>
      <c r="G7" s="33">
        <v>0.78396292555975933</v>
      </c>
      <c r="H7" s="38">
        <v>1</v>
      </c>
      <c r="I7" s="59">
        <v>-2.1816911980665044</v>
      </c>
      <c r="J7" s="59">
        <v>-28.437799714589204</v>
      </c>
      <c r="K7" s="67">
        <v>416.14111459853189</v>
      </c>
    </row>
    <row r="8" spans="2:11" x14ac:dyDescent="0.25">
      <c r="B8" s="13">
        <v>2</v>
      </c>
      <c r="C8" s="14" t="s">
        <v>11</v>
      </c>
      <c r="D8" s="15">
        <f t="shared" ref="D8:D20" si="0">E8-F8</f>
        <v>2.4899999999999998</v>
      </c>
      <c r="E8" s="16">
        <v>3.36</v>
      </c>
      <c r="F8" s="16">
        <v>0.87</v>
      </c>
      <c r="G8" s="34">
        <v>1.7161040013352449</v>
      </c>
      <c r="H8" s="38">
        <v>2</v>
      </c>
      <c r="I8" s="59">
        <v>-2.1467882916375296</v>
      </c>
      <c r="J8" s="59">
        <v>-20.8357503473697</v>
      </c>
      <c r="K8" s="68">
        <v>1159.011580351339</v>
      </c>
    </row>
    <row r="9" spans="2:11" x14ac:dyDescent="0.25">
      <c r="B9" s="13">
        <v>3</v>
      </c>
      <c r="C9" s="14" t="s">
        <v>12</v>
      </c>
      <c r="D9" s="15">
        <f t="shared" si="0"/>
        <v>2.04</v>
      </c>
      <c r="E9" s="16">
        <v>2.5099999999999998</v>
      </c>
      <c r="F9" s="16">
        <v>0.47</v>
      </c>
      <c r="G9" s="34">
        <v>1.2155985985422018</v>
      </c>
      <c r="H9" s="38">
        <v>3</v>
      </c>
      <c r="I9" s="59">
        <v>-3.6192884308827087</v>
      </c>
      <c r="J9" s="59">
        <v>-8.0963697831774333</v>
      </c>
      <c r="K9" s="68">
        <v>981.78685876961663</v>
      </c>
    </row>
    <row r="10" spans="2:11" x14ac:dyDescent="0.25">
      <c r="B10" s="13">
        <v>4</v>
      </c>
      <c r="C10" s="14" t="s">
        <v>13</v>
      </c>
      <c r="D10" s="15">
        <f t="shared" si="0"/>
        <v>3.5700000000000003</v>
      </c>
      <c r="E10" s="16">
        <v>3.95</v>
      </c>
      <c r="F10" s="16">
        <v>0.38</v>
      </c>
      <c r="G10" s="34">
        <v>2.0030922732591225</v>
      </c>
      <c r="H10" s="38">
        <v>4</v>
      </c>
      <c r="I10" s="59">
        <v>-1.6905020185892174</v>
      </c>
      <c r="J10" s="59">
        <v>-3.3694252819165991</v>
      </c>
      <c r="K10" s="68">
        <v>1375.5941659039252</v>
      </c>
    </row>
    <row r="11" spans="2:11" x14ac:dyDescent="0.25">
      <c r="B11" s="13">
        <v>5</v>
      </c>
      <c r="C11" s="14" t="s">
        <v>14</v>
      </c>
      <c r="D11" s="15">
        <f t="shared" si="0"/>
        <v>3.06</v>
      </c>
      <c r="E11" s="16">
        <v>3.77</v>
      </c>
      <c r="F11" s="16">
        <v>0.71</v>
      </c>
      <c r="G11" s="34">
        <v>1.8281020333130364</v>
      </c>
      <c r="H11" s="38">
        <v>5</v>
      </c>
      <c r="I11" s="59">
        <v>-2.5257935925973745</v>
      </c>
      <c r="J11" s="59">
        <v>-1.373597256629165</v>
      </c>
      <c r="K11" s="68">
        <v>1491.2308163944331</v>
      </c>
    </row>
    <row r="12" spans="2:11" x14ac:dyDescent="0.25">
      <c r="B12" s="13">
        <v>6</v>
      </c>
      <c r="C12" s="14" t="s">
        <v>15</v>
      </c>
      <c r="D12" s="15">
        <f t="shared" si="0"/>
        <v>1.9899999999999998</v>
      </c>
      <c r="E12" s="16">
        <v>2.57</v>
      </c>
      <c r="F12" s="16">
        <v>0.57999999999999996</v>
      </c>
      <c r="G12" s="34">
        <v>1.274585619554172</v>
      </c>
      <c r="H12" s="38">
        <v>6</v>
      </c>
      <c r="I12" s="59">
        <v>-1.8410137719105926</v>
      </c>
      <c r="J12" s="59">
        <v>-0.98761051494839514</v>
      </c>
      <c r="K12" s="68">
        <v>975.87137246813097</v>
      </c>
    </row>
    <row r="13" spans="2:11" x14ac:dyDescent="0.25">
      <c r="B13" s="13">
        <v>7</v>
      </c>
      <c r="C13" s="14" t="s">
        <v>16</v>
      </c>
      <c r="D13" s="15">
        <f t="shared" si="0"/>
        <v>4.04</v>
      </c>
      <c r="E13" s="16">
        <v>4.59</v>
      </c>
      <c r="F13" s="16">
        <v>0.55000000000000004</v>
      </c>
      <c r="G13" s="34">
        <v>2.2713699044785209</v>
      </c>
      <c r="H13" s="38">
        <v>7</v>
      </c>
      <c r="I13" s="59">
        <v>-2.2445143032399533</v>
      </c>
      <c r="J13" s="59">
        <v>1.9000051499386192</v>
      </c>
      <c r="K13" s="68">
        <v>1676.1396968149263</v>
      </c>
    </row>
    <row r="14" spans="2:11" x14ac:dyDescent="0.25">
      <c r="B14" s="13">
        <v>8</v>
      </c>
      <c r="C14" s="14" t="s">
        <v>17</v>
      </c>
      <c r="D14" s="15">
        <f t="shared" si="0"/>
        <v>3.9299999999999997</v>
      </c>
      <c r="E14" s="16">
        <v>4.17</v>
      </c>
      <c r="F14" s="16">
        <v>0.24</v>
      </c>
      <c r="G14" s="34">
        <v>2.0592835000974561</v>
      </c>
      <c r="H14" s="38">
        <v>8</v>
      </c>
      <c r="I14" s="59">
        <v>-1.9271845725519481</v>
      </c>
      <c r="J14" s="59">
        <v>2.8437706866408097</v>
      </c>
      <c r="K14" s="68">
        <v>1494.4853605303247</v>
      </c>
    </row>
    <row r="15" spans="2:11" x14ac:dyDescent="0.25">
      <c r="B15" s="13">
        <v>9</v>
      </c>
      <c r="C15" s="14" t="s">
        <v>18</v>
      </c>
      <c r="D15" s="15">
        <f t="shared" si="0"/>
        <v>5.7299999999999995</v>
      </c>
      <c r="E15" s="16">
        <v>6.34</v>
      </c>
      <c r="F15" s="16">
        <v>0.61</v>
      </c>
      <c r="G15" s="34">
        <v>3.2163959907504638</v>
      </c>
      <c r="H15" s="38">
        <v>9</v>
      </c>
      <c r="I15" s="59">
        <v>1.390004908593919</v>
      </c>
      <c r="J15" s="59">
        <v>0.36697219078023358</v>
      </c>
      <c r="K15" s="68">
        <v>1968.9646687663362</v>
      </c>
    </row>
    <row r="16" spans="2:11" x14ac:dyDescent="0.25">
      <c r="B16" s="13">
        <v>10</v>
      </c>
      <c r="C16" s="14" t="s">
        <v>19</v>
      </c>
      <c r="D16" s="15">
        <f t="shared" si="0"/>
        <v>1.4</v>
      </c>
      <c r="E16" s="16">
        <v>1.78</v>
      </c>
      <c r="F16" s="16">
        <v>0.38</v>
      </c>
      <c r="G16" s="34">
        <v>0.870643135071964</v>
      </c>
      <c r="H16" s="38">
        <v>10</v>
      </c>
      <c r="I16" s="59">
        <v>-6.027019451686221</v>
      </c>
      <c r="J16" s="59">
        <v>4.9080195416158858</v>
      </c>
      <c r="K16" s="68">
        <v>756.87984558639721</v>
      </c>
    </row>
    <row r="17" spans="2:11" x14ac:dyDescent="0.25">
      <c r="B17" s="13">
        <v>11</v>
      </c>
      <c r="C17" s="14" t="s">
        <v>20</v>
      </c>
      <c r="D17" s="15">
        <f t="shared" si="0"/>
        <v>3.5</v>
      </c>
      <c r="E17" s="16">
        <v>3.83</v>
      </c>
      <c r="F17" s="16">
        <v>0.33</v>
      </c>
      <c r="G17" s="34">
        <v>1.9868004181200176</v>
      </c>
      <c r="H17" s="38">
        <v>11</v>
      </c>
      <c r="I17" s="59">
        <v>3.9083843934026974</v>
      </c>
      <c r="J17" s="59">
        <v>0.86337577449396297</v>
      </c>
      <c r="K17" s="68">
        <v>1096.1280382935006</v>
      </c>
    </row>
    <row r="18" spans="2:11" x14ac:dyDescent="0.25">
      <c r="B18" s="13">
        <v>12</v>
      </c>
      <c r="C18" s="14" t="s">
        <v>21</v>
      </c>
      <c r="D18" s="15">
        <f t="shared" si="0"/>
        <v>4</v>
      </c>
      <c r="E18" s="16">
        <v>4.12</v>
      </c>
      <c r="F18" s="16">
        <v>0.12</v>
      </c>
      <c r="G18" s="34">
        <v>1.8792216471598735</v>
      </c>
      <c r="H18" s="38">
        <v>12</v>
      </c>
      <c r="I18" s="59">
        <v>5.7788014503436615</v>
      </c>
      <c r="J18" s="59">
        <v>1.7593821463569452</v>
      </c>
      <c r="K18" s="68">
        <v>2104.5728522134837</v>
      </c>
    </row>
    <row r="19" spans="2:11" x14ac:dyDescent="0.25">
      <c r="B19" s="13">
        <v>13</v>
      </c>
      <c r="C19" s="14" t="s">
        <v>22</v>
      </c>
      <c r="D19" s="15">
        <f t="shared" si="0"/>
        <v>5</v>
      </c>
      <c r="E19" s="16">
        <v>5.39</v>
      </c>
      <c r="F19" s="16">
        <v>0.39</v>
      </c>
      <c r="G19" s="34">
        <v>2.6761765435234901</v>
      </c>
      <c r="H19" s="38">
        <v>13</v>
      </c>
      <c r="I19" s="59">
        <v>1.9753704754688934</v>
      </c>
      <c r="J19" s="59">
        <v>4.0675412691681183</v>
      </c>
      <c r="K19" s="68">
        <v>1925.7689253900271</v>
      </c>
    </row>
    <row r="20" spans="2:11" ht="15.75" thickBot="1" x14ac:dyDescent="0.3">
      <c r="B20" s="17">
        <v>14</v>
      </c>
      <c r="C20" s="18" t="s">
        <v>23</v>
      </c>
      <c r="D20" s="19">
        <f t="shared" si="0"/>
        <v>2.2799999999999998</v>
      </c>
      <c r="E20" s="20">
        <v>2.5499999999999998</v>
      </c>
      <c r="F20" s="20">
        <v>0.27</v>
      </c>
      <c r="G20" s="35">
        <v>1.3450809342346726</v>
      </c>
      <c r="H20" s="38">
        <v>14</v>
      </c>
      <c r="I20" s="59">
        <v>-0.46628055470744928</v>
      </c>
      <c r="J20" s="59">
        <v>5.7568321935352209</v>
      </c>
      <c r="K20" s="69">
        <v>696.12244391902641</v>
      </c>
    </row>
    <row r="21" spans="2:11" ht="15.75" thickBot="1" x14ac:dyDescent="0.3">
      <c r="B21" s="21"/>
      <c r="C21" s="22"/>
      <c r="D21" s="23">
        <f>SUM(D7:D20)</f>
        <v>43.17</v>
      </c>
      <c r="E21" s="24">
        <f>SUM(E7:E20)</f>
        <v>50.4</v>
      </c>
      <c r="F21" s="24">
        <f>SUM(F7:F20)</f>
        <v>7.23</v>
      </c>
      <c r="G21" s="26">
        <f>SUM(G7:G20)</f>
        <v>25.126417524999997</v>
      </c>
      <c r="I21" s="39"/>
      <c r="J21" s="39"/>
      <c r="K21" s="70">
        <f>SUM(K7:K20)</f>
        <v>18118.69774</v>
      </c>
    </row>
  </sheetData>
  <mergeCells count="3">
    <mergeCell ref="B2:F2"/>
    <mergeCell ref="B1:G1"/>
    <mergeCell ref="H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Worked Example (pre TCR)</vt:lpstr>
      <vt:lpstr>Worked Example (post TCR)</vt:lpstr>
      <vt:lpstr>Worked Example (post TCR) floor</vt:lpstr>
      <vt:lpstr>Data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</dc:creator>
  <cp:lastModifiedBy>National Grid</cp:lastModifiedBy>
  <dcterms:created xsi:type="dcterms:W3CDTF">2020-01-13T16:03:40Z</dcterms:created>
  <dcterms:modified xsi:type="dcterms:W3CDTF">2020-01-16T16:03:49Z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-1999947793</vt:i4>
  </property>
  <property fmtid="{D5CDD505-2E9C-101B-9397-08002B2CF9AE}" pid="3" name="_NewReviewCycle">
    <vt:lpwstr/>
  </property>
  <property fmtid="{D5CDD505-2E9C-101B-9397-08002B2CF9AE}" pid="4" name="_EmailSubject">
    <vt:lpwstr>CMP332: worked examples of demand TNUoS calculations today and tomorrow (floor/ no floor)</vt:lpwstr>
  </property>
  <property fmtid="{D5CDD505-2E9C-101B-9397-08002B2CF9AE}" pid="5" name="_AuthorEmail">
    <vt:lpwstr>Eleanor.Horn@nationalgrideso.com</vt:lpwstr>
  </property>
  <property fmtid="{D5CDD505-2E9C-101B-9397-08002B2CF9AE}" pid="6" name="_AuthorEmailDisplayName">
    <vt:lpwstr>Horn (ESO), Eleanor</vt:lpwstr>
  </property>
</Properties>
</file>