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codeName="ThisWorkbook" defaultThemeVersion="166925"/>
  <mc:AlternateContent xmlns:mc="http://schemas.openxmlformats.org/markup-compatibility/2006">
    <mc:Choice Requires="x15">
      <x15ac:absPath xmlns:x15ac="http://schemas.microsoft.com/office/spreadsheetml/2010/11/ac" url="https://nationalgridplc.sharepoint.com/sites/GRP-INT-UK-ESORevenue/Customer/4. Charging Forums/2019 Charging Forum/Slidepack/"/>
    </mc:Choice>
  </mc:AlternateContent>
  <xr:revisionPtr revIDLastSave="37" documentId="10_ncr:100000_{5B5D3C49-29FB-4A8A-843D-A965B9B38CBD}" xr6:coauthVersionLast="36" xr6:coauthVersionMax="45" xr10:uidLastSave="{8D6419D7-8D44-4269-B81A-AF8ADE1060C1}"/>
  <bookViews>
    <workbookView xWindow="0" yWindow="0" windowWidth="28800" windowHeight="12285" activeTab="2" xr2:uid="{D3E1D6DB-A27F-4357-9F98-F3983AD9FB02}"/>
  </bookViews>
  <sheets>
    <sheet name="DISCLAIMER" sheetId="8" r:id="rId1"/>
    <sheet name="Instructions" sheetId="7" r:id="rId2"/>
    <sheet name="Reconciliation (Simplified)" sheetId="4" r:id="rId3"/>
    <sheet name="Reconciliation" sheetId="1" r:id="rId4"/>
    <sheet name="Tariffs" sheetId="2" state="hidden" r:id="rId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AS8" i="4" l="1"/>
  <c r="AR8" i="4"/>
  <c r="I8" i="4" s="1"/>
  <c r="AQ8" i="4"/>
  <c r="E8" i="4"/>
  <c r="AS7" i="4"/>
  <c r="AR7" i="4"/>
  <c r="K7" i="4" s="1"/>
  <c r="AQ7" i="4"/>
  <c r="AS6" i="4"/>
  <c r="AR6" i="4"/>
  <c r="AQ6" i="4"/>
  <c r="D6" i="4" s="1"/>
  <c r="P7" i="4" l="1"/>
  <c r="N8" i="4"/>
  <c r="I7" i="4"/>
  <c r="N7" i="4" s="1"/>
  <c r="I6" i="4"/>
  <c r="E6" i="4"/>
  <c r="E7" i="4" s="1"/>
  <c r="F8" i="4"/>
  <c r="J8" i="4"/>
  <c r="O8" i="4" s="1"/>
  <c r="AS7" i="1"/>
  <c r="AS8" i="1"/>
  <c r="AS9" i="1"/>
  <c r="AS10" i="1"/>
  <c r="AS11" i="1"/>
  <c r="AS12" i="1"/>
  <c r="AS13" i="1"/>
  <c r="AS14" i="1"/>
  <c r="AS15" i="1"/>
  <c r="AS16" i="1"/>
  <c r="AS17" i="1"/>
  <c r="AS18" i="1"/>
  <c r="AS19" i="1"/>
  <c r="AS20" i="1"/>
  <c r="AS21" i="1"/>
  <c r="AS6" i="1"/>
  <c r="AR7" i="1"/>
  <c r="AR8" i="1"/>
  <c r="AR9" i="1"/>
  <c r="AR10" i="1"/>
  <c r="AR11" i="1"/>
  <c r="AR12" i="1"/>
  <c r="AR13" i="1"/>
  <c r="AR14" i="1"/>
  <c r="AR15" i="1"/>
  <c r="AR16" i="1"/>
  <c r="AR17" i="1"/>
  <c r="AR18" i="1"/>
  <c r="AR19" i="1"/>
  <c r="AR20" i="1"/>
  <c r="I20" i="1" s="1"/>
  <c r="AR21" i="1"/>
  <c r="AR6" i="1"/>
  <c r="E21" i="1"/>
  <c r="F21" i="1" s="1"/>
  <c r="AQ7" i="1"/>
  <c r="AQ8" i="1"/>
  <c r="AQ9" i="1"/>
  <c r="AQ10" i="1"/>
  <c r="AQ11" i="1"/>
  <c r="AQ12" i="1"/>
  <c r="AQ13" i="1"/>
  <c r="AQ14" i="1"/>
  <c r="AQ15" i="1"/>
  <c r="AQ16" i="1"/>
  <c r="AQ17" i="1"/>
  <c r="AQ18" i="1"/>
  <c r="AQ19" i="1"/>
  <c r="AQ20" i="1"/>
  <c r="AQ21" i="1"/>
  <c r="AQ6" i="1"/>
  <c r="J21" i="1" l="1"/>
  <c r="O21" i="1" s="1"/>
  <c r="J6" i="4"/>
  <c r="O6" i="4" s="1"/>
  <c r="F6" i="4"/>
  <c r="G8" i="4"/>
  <c r="H8" i="4" s="1"/>
  <c r="N6" i="4"/>
  <c r="G7" i="4"/>
  <c r="H7" i="4" s="1"/>
  <c r="J7" i="4"/>
  <c r="D16" i="1"/>
  <c r="E16" i="1" s="1"/>
  <c r="D19" i="1"/>
  <c r="E19" i="1" s="1"/>
  <c r="D7" i="1"/>
  <c r="E7" i="1" s="1"/>
  <c r="D8" i="1"/>
  <c r="E8" i="1" s="1"/>
  <c r="D15" i="1"/>
  <c r="D18" i="1"/>
  <c r="E18" i="1" s="1"/>
  <c r="D10" i="1"/>
  <c r="E10" i="1" s="1"/>
  <c r="D12" i="1"/>
  <c r="E12" i="1" s="1"/>
  <c r="D11" i="1"/>
  <c r="E11" i="1" s="1"/>
  <c r="D14" i="1"/>
  <c r="E14" i="1" s="1"/>
  <c r="D17" i="1"/>
  <c r="E17" i="1" s="1"/>
  <c r="D13" i="1"/>
  <c r="E13" i="1" s="1"/>
  <c r="D9" i="1"/>
  <c r="E9" i="1" s="1"/>
  <c r="D6" i="1"/>
  <c r="E6" i="1" s="1"/>
  <c r="G21" i="1"/>
  <c r="H21" i="1" s="1"/>
  <c r="N20" i="1"/>
  <c r="I21" i="1"/>
  <c r="N21" i="1" s="1"/>
  <c r="I19" i="1"/>
  <c r="N19" i="1" s="1"/>
  <c r="I7" i="1"/>
  <c r="N7" i="1" s="1"/>
  <c r="K20" i="1"/>
  <c r="P20" i="1" s="1"/>
  <c r="O7" i="4" l="1"/>
  <c r="Q7" i="4" s="1"/>
  <c r="L7" i="4"/>
  <c r="M7" i="4" s="1"/>
  <c r="K8" i="4"/>
  <c r="K6" i="4"/>
  <c r="P6" i="4" s="1"/>
  <c r="Q6" i="4" s="1"/>
  <c r="G6" i="4"/>
  <c r="G9" i="4" s="1"/>
  <c r="I15" i="1"/>
  <c r="N15" i="1" s="1"/>
  <c r="E15" i="1"/>
  <c r="J15" i="1" s="1"/>
  <c r="O15" i="1" s="1"/>
  <c r="I10" i="1"/>
  <c r="N10" i="1" s="1"/>
  <c r="I18" i="1"/>
  <c r="N18" i="1" s="1"/>
  <c r="I16" i="1"/>
  <c r="N16" i="1" s="1"/>
  <c r="I17" i="1"/>
  <c r="N17" i="1" s="1"/>
  <c r="I8" i="1"/>
  <c r="N8" i="1" s="1"/>
  <c r="J8" i="1"/>
  <c r="O8" i="1" s="1"/>
  <c r="I12" i="1"/>
  <c r="N12" i="1" s="1"/>
  <c r="I14" i="1"/>
  <c r="N14" i="1" s="1"/>
  <c r="F14" i="1"/>
  <c r="I13" i="1"/>
  <c r="N13" i="1" s="1"/>
  <c r="I9" i="1"/>
  <c r="N9" i="1" s="1"/>
  <c r="I11" i="1"/>
  <c r="N11" i="1" s="1"/>
  <c r="I6" i="1"/>
  <c r="N6" i="1" s="1"/>
  <c r="F16" i="1"/>
  <c r="G16" i="1" s="1"/>
  <c r="F17" i="1"/>
  <c r="K17" i="1" s="1"/>
  <c r="P17" i="1" s="1"/>
  <c r="F19" i="1"/>
  <c r="K19" i="1" s="1"/>
  <c r="P19" i="1" s="1"/>
  <c r="F7" i="1"/>
  <c r="K7" i="1" s="1"/>
  <c r="P7" i="1" s="1"/>
  <c r="F9" i="1"/>
  <c r="K9" i="1" s="1"/>
  <c r="P9" i="1" s="1"/>
  <c r="F10" i="1"/>
  <c r="K10" i="1" s="1"/>
  <c r="P10" i="1" s="1"/>
  <c r="F11" i="1"/>
  <c r="K11" i="1" s="1"/>
  <c r="P11" i="1" s="1"/>
  <c r="F18" i="1"/>
  <c r="G18" i="1" s="1"/>
  <c r="H18" i="1" s="1"/>
  <c r="F13" i="1"/>
  <c r="K13" i="1" s="1"/>
  <c r="P13" i="1" s="1"/>
  <c r="F12" i="1"/>
  <c r="K12" i="1" s="1"/>
  <c r="P12" i="1" s="1"/>
  <c r="F6" i="1"/>
  <c r="J7" i="1"/>
  <c r="O7" i="1" s="1"/>
  <c r="J18" i="1"/>
  <c r="O18" i="1" s="1"/>
  <c r="J11" i="1"/>
  <c r="O11" i="1" s="1"/>
  <c r="J6" i="1"/>
  <c r="O6" i="1" s="1"/>
  <c r="J10" i="1"/>
  <c r="O10" i="1" s="1"/>
  <c r="J19" i="1"/>
  <c r="O19" i="1" s="1"/>
  <c r="J16" i="1"/>
  <c r="O16" i="1" s="1"/>
  <c r="J13" i="1"/>
  <c r="O13" i="1" s="1"/>
  <c r="J12" i="1"/>
  <c r="O12" i="1" s="1"/>
  <c r="J14" i="1"/>
  <c r="O14" i="1" s="1"/>
  <c r="E20" i="1"/>
  <c r="J9" i="1"/>
  <c r="O9" i="1" s="1"/>
  <c r="J17" i="1"/>
  <c r="O17" i="1" s="1"/>
  <c r="R7" i="4" l="1"/>
  <c r="P8" i="4"/>
  <c r="Q8" i="4" s="1"/>
  <c r="L8" i="4"/>
  <c r="M8" i="4" s="1"/>
  <c r="H6" i="4"/>
  <c r="H9" i="4" s="1"/>
  <c r="L6" i="4"/>
  <c r="G6" i="1"/>
  <c r="H6" i="1" s="1"/>
  <c r="F15" i="1"/>
  <c r="G15" i="1" s="1"/>
  <c r="H15" i="1" s="1"/>
  <c r="F8" i="1"/>
  <c r="K8" i="1" s="1"/>
  <c r="P8" i="1" s="1"/>
  <c r="Q8" i="1" s="1"/>
  <c r="K16" i="1"/>
  <c r="P16" i="1" s="1"/>
  <c r="Q16" i="1" s="1"/>
  <c r="K18" i="1"/>
  <c r="P18" i="1" s="1"/>
  <c r="Q18" i="1" s="1"/>
  <c r="G19" i="1"/>
  <c r="H19" i="1" s="1"/>
  <c r="Q11" i="1"/>
  <c r="Q9" i="1"/>
  <c r="G9" i="1"/>
  <c r="H9" i="1" s="1"/>
  <c r="Q10" i="1"/>
  <c r="G14" i="1"/>
  <c r="H14" i="1" s="1"/>
  <c r="K14" i="1"/>
  <c r="P14" i="1" s="1"/>
  <c r="Q14" i="1" s="1"/>
  <c r="H16" i="1"/>
  <c r="G11" i="1"/>
  <c r="H11" i="1" s="1"/>
  <c r="G13" i="1"/>
  <c r="H13" i="1" s="1"/>
  <c r="G12" i="1"/>
  <c r="H12" i="1" s="1"/>
  <c r="G7" i="1"/>
  <c r="H7" i="1" s="1"/>
  <c r="Q17" i="1"/>
  <c r="Q12" i="1"/>
  <c r="K6" i="1"/>
  <c r="L6" i="1" s="1"/>
  <c r="G17" i="1"/>
  <c r="H17" i="1" s="1"/>
  <c r="Q7" i="1"/>
  <c r="L11" i="1"/>
  <c r="Q13" i="1"/>
  <c r="L7" i="1"/>
  <c r="L10" i="1"/>
  <c r="G10" i="1"/>
  <c r="H10" i="1" s="1"/>
  <c r="L17" i="1"/>
  <c r="L9" i="1"/>
  <c r="L12" i="1"/>
  <c r="L13" i="1"/>
  <c r="J20" i="1"/>
  <c r="G20" i="1"/>
  <c r="H20" i="1" s="1"/>
  <c r="L19" i="1"/>
  <c r="R8" i="4" l="1"/>
  <c r="M6" i="4"/>
  <c r="M9" i="4" s="1"/>
  <c r="L9" i="4"/>
  <c r="Q9" i="4"/>
  <c r="R6" i="4"/>
  <c r="R9" i="4" s="1"/>
  <c r="L14" i="1"/>
  <c r="R14" i="1" s="1"/>
  <c r="K15" i="1"/>
  <c r="P15" i="1" s="1"/>
  <c r="Q15" i="1" s="1"/>
  <c r="L8" i="1"/>
  <c r="K21" i="1"/>
  <c r="P21" i="1" s="1"/>
  <c r="Q21" i="1" s="1"/>
  <c r="G8" i="1"/>
  <c r="H8" i="1" s="1"/>
  <c r="H22" i="1" s="1"/>
  <c r="L16" i="1"/>
  <c r="R16" i="1" s="1"/>
  <c r="L18" i="1"/>
  <c r="M18" i="1" s="1"/>
  <c r="R7" i="1"/>
  <c r="M6" i="1"/>
  <c r="L15" i="1"/>
  <c r="M15" i="1" s="1"/>
  <c r="P6" i="1"/>
  <c r="Q6" i="1" s="1"/>
  <c r="R6" i="1" s="1"/>
  <c r="M9" i="1"/>
  <c r="M11" i="1"/>
  <c r="M13" i="1"/>
  <c r="M17" i="1"/>
  <c r="M12" i="1"/>
  <c r="R11" i="1"/>
  <c r="M7" i="1"/>
  <c r="R13" i="1"/>
  <c r="M10" i="1"/>
  <c r="R10" i="1"/>
  <c r="R17" i="1"/>
  <c r="R9" i="1"/>
  <c r="R12" i="1"/>
  <c r="O20" i="1"/>
  <c r="Q20" i="1" s="1"/>
  <c r="L20" i="1"/>
  <c r="M20" i="1" s="1"/>
  <c r="Q19" i="1"/>
  <c r="R19" i="1" s="1"/>
  <c r="M19" i="1"/>
  <c r="M14" i="1" l="1"/>
  <c r="L21" i="1"/>
  <c r="M21" i="1" s="1"/>
  <c r="G22" i="1"/>
  <c r="M8" i="1"/>
  <c r="R8" i="1"/>
  <c r="R18" i="1"/>
  <c r="M16" i="1"/>
  <c r="R15" i="1"/>
  <c r="R20" i="1"/>
  <c r="Q22" i="1"/>
  <c r="R21" i="1" l="1"/>
  <c r="R22" i="1" s="1"/>
  <c r="M22" i="1"/>
  <c r="L22" i="1"/>
</calcChain>
</file>

<file path=xl/sharedStrings.xml><?xml version="1.0" encoding="utf-8"?>
<sst xmlns="http://schemas.openxmlformats.org/spreadsheetml/2006/main" count="124" uniqueCount="83">
  <si>
    <t>This spreadsheet is provided for illustrative purposes only.</t>
  </si>
  <si>
    <t>Please note: If there are any inconsistencies between this guidance note and the industry framework documents (CUSC, the NGC Use of System Charging Methodology or the BSC), the industry framework documents will take precedence. The CUSC and all Code subsidiary documentation can be downloaded from the National Grid Website.</t>
  </si>
  <si>
    <t>INSTRUCTIONS</t>
  </si>
  <si>
    <t>Use randomally generated numbers to simulate input values (Supplier forecasts and out-turn metering data), to then generate the simulated initial and final reconciliations.</t>
  </si>
  <si>
    <t>Press F9 to re-calculate, to work through different scenarios.</t>
  </si>
  <si>
    <t>The amount of embedded export forecasts are linked to the demand forecasts in these examples - adjust the value in cell F4 to adjust the scaling factor to see different scenarios i.e. where value of embedded exports is greater than gross demand</t>
  </si>
  <si>
    <t>OR….</t>
  </si>
  <si>
    <t>Over-write the input cells with your own values</t>
  </si>
  <si>
    <t>TNUoS DEMAND RECONCILIATIONS</t>
  </si>
  <si>
    <t>FORECAST</t>
  </si>
  <si>
    <t>INITIAL DEMAND RECONCILIATION</t>
  </si>
  <si>
    <t>FINAL DEMAND RECONCILIATION</t>
  </si>
  <si>
    <t>BMU</t>
  </si>
  <si>
    <t>Type</t>
  </si>
  <si>
    <t>Forecast NHH (kWh)</t>
  </si>
  <si>
    <t>Forecast Gross Dem HH (kW)</t>
  </si>
  <si>
    <t>Forecast Emb Exp HH (kW)</t>
  </si>
  <si>
    <t>Forecast Liability</t>
  </si>
  <si>
    <t>Total Invoices</t>
  </si>
  <si>
    <t>Actual NHH (kWh)</t>
  </si>
  <si>
    <t>Actual Gross Dem HH (kW)</t>
  </si>
  <si>
    <t>Actual Emb Exp HH (kW)</t>
  </si>
  <si>
    <t>Actual Liability</t>
  </si>
  <si>
    <t>Initial Demand Rec Invoice</t>
  </si>
  <si>
    <t>RF NHH (kWh)</t>
  </si>
  <si>
    <t>RF Gross Dem HH (kW)</t>
  </si>
  <si>
    <t>RF Emb Exp HH (kW)</t>
  </si>
  <si>
    <t>RF Liability</t>
  </si>
  <si>
    <t>Final Demand Rec Invoice</t>
  </si>
  <si>
    <t>2__AABCD000</t>
  </si>
  <si>
    <t>SVA</t>
  </si>
  <si>
    <t>T_ABCD000</t>
  </si>
  <si>
    <t>CVA - Demand</t>
  </si>
  <si>
    <t>E_ABCD000</t>
  </si>
  <si>
    <t>CVA - Emb Gen</t>
  </si>
  <si>
    <t>TOTAL</t>
  </si>
  <si>
    <t>2__BABCD000</t>
  </si>
  <si>
    <t>2__CABCD000</t>
  </si>
  <si>
    <t>2__DABCD000</t>
  </si>
  <si>
    <t>2__EABCD000</t>
  </si>
  <si>
    <t>2__FABCD000</t>
  </si>
  <si>
    <t>2__GABCD000</t>
  </si>
  <si>
    <t>2__HABCD000</t>
  </si>
  <si>
    <t>2__JABCD000</t>
  </si>
  <si>
    <t>2__KABCD000</t>
  </si>
  <si>
    <t>2__LABCD000</t>
  </si>
  <si>
    <t>2__MABCD000</t>
  </si>
  <si>
    <t>2__NABCD000</t>
  </si>
  <si>
    <t>2__PABCD000</t>
  </si>
  <si>
    <t>Zone</t>
  </si>
  <si>
    <t>Zone Name</t>
  </si>
  <si>
    <t>HH Demand Tariff (£/kW)</t>
  </si>
  <si>
    <t>NHH Demand Tariff (p/kWh)</t>
  </si>
  <si>
    <t>Embedded Export Tariff (£/kW)</t>
  </si>
  <si>
    <t>Northern Scotland</t>
  </si>
  <si>
    <t>Zone Lookup</t>
  </si>
  <si>
    <t>Southern Scotland</t>
  </si>
  <si>
    <t>A</t>
  </si>
  <si>
    <t>Northern</t>
  </si>
  <si>
    <t>B</t>
  </si>
  <si>
    <t>North West</t>
  </si>
  <si>
    <t>C</t>
  </si>
  <si>
    <t>Yorkshire</t>
  </si>
  <si>
    <t>D</t>
  </si>
  <si>
    <t>N Wales &amp; Mersey</t>
  </si>
  <si>
    <t>E</t>
  </si>
  <si>
    <t>East Midlands</t>
  </si>
  <si>
    <t>F</t>
  </si>
  <si>
    <t>Midlands</t>
  </si>
  <si>
    <t>G</t>
  </si>
  <si>
    <t>Eastern</t>
  </si>
  <si>
    <t>H</t>
  </si>
  <si>
    <t>South Wales</t>
  </si>
  <si>
    <t>J</t>
  </si>
  <si>
    <t>South East</t>
  </si>
  <si>
    <t>K</t>
  </si>
  <si>
    <t>London</t>
  </si>
  <si>
    <t>L</t>
  </si>
  <si>
    <t>Southern</t>
  </si>
  <si>
    <t>M</t>
  </si>
  <si>
    <t>South Western</t>
  </si>
  <si>
    <t>N</t>
  </si>
  <si>
    <t>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</si>
</sst>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quot;£&quot;* #,##0.00_-;_-&quot;£&quot;* &quot;-&quot;??_-;_-@_-"/>
    <numFmt numFmtId="43" formatCode="_-* #,##0.00_-;\-* #,##0.00_-;_-* &quot;-&quot;??_-;_-@_-"/>
    <numFmt numFmtId="164" formatCode="0_)"/>
    <numFmt numFmtId="165" formatCode="0.000000"/>
    <numFmt numFmtId="166" formatCode="_-* #,##0_-;\-* #,##0_-;_-* &quot;-&quot;??_-;_-@_-"/>
    <numFmt numFmtId="167" formatCode="_-&quot;£&quot;* #,##0_-;\-&quot;£&quot;* #,##0_-;_-&quot;£&quot;* &quot;-&quot;??_-;_-@_-"/>
  </numFmts>
  <fonts count="13" x14ac:knownFonts="1">
    <font>
      <sz val="11"/>
      <color theme="1"/>
      <name val="Calibri"/>
      <family val="2"/>
      <scheme val="minor"/>
    </font>
    <font>
      <sz val="11"/>
      <color theme="1"/>
      <name val="Calibri"/>
      <family val="2"/>
      <scheme val="minor"/>
    </font>
    <font>
      <b/>
      <sz val="11"/>
      <color theme="1"/>
      <name val="Calibri"/>
      <family val="2"/>
      <scheme val="minor"/>
    </font>
    <font>
      <b/>
      <sz val="10"/>
      <color theme="0"/>
      <name val="Arial"/>
      <family val="2"/>
    </font>
    <font>
      <sz val="12"/>
      <name val="Arial"/>
      <family val="2"/>
    </font>
    <font>
      <sz val="10"/>
      <name val="Arial"/>
      <family val="2"/>
    </font>
    <font>
      <b/>
      <sz val="14"/>
      <color theme="1"/>
      <name val="Calibri"/>
      <family val="2"/>
      <scheme val="minor"/>
    </font>
    <font>
      <b/>
      <sz val="20"/>
      <color theme="1"/>
      <name val="Calibri"/>
      <family val="2"/>
      <scheme val="minor"/>
    </font>
    <font>
      <sz val="20"/>
      <color theme="1"/>
      <name val="Calibri"/>
      <family val="2"/>
      <scheme val="minor"/>
    </font>
    <font>
      <b/>
      <sz val="20"/>
      <color theme="0"/>
      <name val="Calibri"/>
      <family val="2"/>
      <scheme val="minor"/>
    </font>
    <font>
      <b/>
      <sz val="24"/>
      <color theme="1"/>
      <name val="Calibri"/>
      <family val="2"/>
      <scheme val="minor"/>
    </font>
    <font>
      <sz val="8"/>
      <color theme="0"/>
      <name val="Calibri"/>
      <family val="2"/>
      <scheme val="minor"/>
    </font>
    <font>
      <b/>
      <sz val="16"/>
      <color theme="1"/>
      <name val="Calibri"/>
      <family val="2"/>
      <scheme val="minor"/>
    </font>
  </fonts>
  <fills count="11">
    <fill>
      <patternFill patternType="none"/>
    </fill>
    <fill>
      <patternFill patternType="gray125"/>
    </fill>
    <fill>
      <patternFill patternType="solid">
        <fgColor rgb="FF6A2C91"/>
        <bgColor indexed="64"/>
      </patternFill>
    </fill>
    <fill>
      <patternFill patternType="solid">
        <fgColor theme="8" tint="0.79998168889431442"/>
        <bgColor indexed="64"/>
      </patternFill>
    </fill>
    <fill>
      <patternFill patternType="solid">
        <fgColor theme="8" tint="0.39997558519241921"/>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5" tint="0.39997558519241921"/>
        <bgColor indexed="64"/>
      </patternFill>
    </fill>
    <fill>
      <patternFill patternType="solid">
        <fgColor theme="9" tint="0.39997558519241921"/>
        <bgColor indexed="64"/>
      </patternFill>
    </fill>
    <fill>
      <patternFill patternType="solid">
        <fgColor theme="4" tint="0.59999389629810485"/>
        <bgColor indexed="64"/>
      </patternFill>
    </fill>
    <fill>
      <patternFill patternType="solid">
        <fgColor theme="4" tint="-0.249977111117893"/>
        <bgColor indexed="64"/>
      </patternFill>
    </fill>
  </fills>
  <borders count="53">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auto="1"/>
      </bottom>
      <diagonal/>
    </border>
    <border>
      <left style="thin">
        <color auto="1"/>
      </left>
      <right style="thin">
        <color indexed="64"/>
      </right>
      <top style="medium">
        <color indexed="64"/>
      </top>
      <bottom style="thin">
        <color auto="1"/>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auto="1"/>
      </left>
      <right style="thin">
        <color indexed="64"/>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ck">
        <color rgb="FFFF0000"/>
      </left>
      <right style="thick">
        <color rgb="FFFF0000"/>
      </right>
      <top style="thin">
        <color auto="1"/>
      </top>
      <bottom style="thin">
        <color auto="1"/>
      </bottom>
      <diagonal/>
    </border>
    <border>
      <left style="thick">
        <color rgb="FFFF0000"/>
      </left>
      <right style="thick">
        <color rgb="FFFF0000"/>
      </right>
      <top style="thin">
        <color indexed="64"/>
      </top>
      <bottom style="medium">
        <color indexed="64"/>
      </bottom>
      <diagonal/>
    </border>
    <border>
      <left style="thick">
        <color rgb="FFFF0000"/>
      </left>
      <right style="thick">
        <color rgb="FFFF0000"/>
      </right>
      <top style="medium">
        <color indexed="64"/>
      </top>
      <bottom style="thick">
        <color rgb="FFFF0000"/>
      </bottom>
      <diagonal/>
    </border>
    <border>
      <left style="thick">
        <color rgb="FFFF0000"/>
      </left>
      <right style="thick">
        <color rgb="FFFF0000"/>
      </right>
      <top style="thick">
        <color rgb="FFFF0000"/>
      </top>
      <bottom style="thin">
        <color indexed="64"/>
      </bottom>
      <diagonal/>
    </border>
    <border>
      <left style="thick">
        <color rgb="FFFF0000"/>
      </left>
      <right style="thick">
        <color rgb="FFFF0000"/>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theme="5"/>
      </left>
      <right style="medium">
        <color theme="5"/>
      </right>
      <top style="medium">
        <color theme="5"/>
      </top>
      <bottom style="medium">
        <color theme="5"/>
      </bottom>
      <diagonal/>
    </border>
    <border>
      <left style="thin">
        <color indexed="64"/>
      </left>
      <right style="thin">
        <color indexed="64"/>
      </right>
      <top/>
      <bottom style="medium">
        <color indexed="64"/>
      </bottom>
      <diagonal/>
    </border>
    <border>
      <left style="medium">
        <color theme="7"/>
      </left>
      <right style="medium">
        <color theme="7"/>
      </right>
      <top style="medium">
        <color theme="7"/>
      </top>
      <bottom style="medium">
        <color theme="7"/>
      </bottom>
      <diagonal/>
    </border>
    <border>
      <left style="thin">
        <color auto="1"/>
      </left>
      <right/>
      <top style="thin">
        <color auto="1"/>
      </top>
      <bottom/>
      <diagonal/>
    </border>
    <border>
      <left/>
      <right/>
      <top/>
      <bottom style="thin">
        <color indexed="64"/>
      </bottom>
      <diagonal/>
    </border>
    <border>
      <left style="thin">
        <color indexed="64"/>
      </left>
      <right style="thin">
        <color indexed="64"/>
      </right>
      <top/>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theme="7"/>
      </left>
      <right/>
      <top style="medium">
        <color theme="7"/>
      </top>
      <bottom style="medium">
        <color theme="7"/>
      </bottom>
      <diagonal/>
    </border>
    <border>
      <left/>
      <right style="medium">
        <color theme="7"/>
      </right>
      <top style="medium">
        <color theme="7"/>
      </top>
      <bottom style="medium">
        <color theme="7"/>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0" fontId="1" fillId="0" borderId="0"/>
    <xf numFmtId="0" fontId="4" fillId="0" borderId="0"/>
  </cellStyleXfs>
  <cellXfs count="133">
    <xf numFmtId="0" fontId="0" fillId="0" borderId="0" xfId="0"/>
    <xf numFmtId="0" fontId="3" fillId="2" borderId="1" xfId="3" applyFont="1" applyFill="1" applyBorder="1" applyAlignment="1">
      <alignment horizontal="center" vertical="center"/>
    </xf>
    <xf numFmtId="0" fontId="3" fillId="2" borderId="2" xfId="3" applyFont="1" applyFill="1" applyBorder="1" applyAlignment="1">
      <alignment horizontal="center" vertical="center" wrapText="1"/>
    </xf>
    <xf numFmtId="0" fontId="3" fillId="2" borderId="3" xfId="3" applyFont="1" applyFill="1" applyBorder="1" applyAlignment="1">
      <alignment horizontal="center" vertical="center" wrapText="1"/>
    </xf>
    <xf numFmtId="164" fontId="5" fillId="0" borderId="4" xfId="4" applyNumberFormat="1" applyFont="1" applyFill="1" applyBorder="1" applyAlignment="1" applyProtection="1">
      <alignment horizontal="center"/>
      <protection locked="0"/>
    </xf>
    <xf numFmtId="164" fontId="5" fillId="0" borderId="5" xfId="4" applyNumberFormat="1" applyFont="1" applyFill="1" applyBorder="1" applyAlignment="1" applyProtection="1">
      <alignment horizontal="center"/>
      <protection locked="0"/>
    </xf>
    <xf numFmtId="165" fontId="5" fillId="0" borderId="5" xfId="4" applyNumberFormat="1" applyFont="1" applyFill="1" applyBorder="1" applyAlignment="1" applyProtection="1">
      <alignment horizontal="center"/>
    </xf>
    <xf numFmtId="165" fontId="5" fillId="0" borderId="6" xfId="4" applyNumberFormat="1" applyFont="1" applyFill="1" applyBorder="1" applyAlignment="1" applyProtection="1">
      <alignment horizontal="center"/>
    </xf>
    <xf numFmtId="164" fontId="5" fillId="0" borderId="7" xfId="4" applyNumberFormat="1" applyFont="1" applyFill="1" applyBorder="1" applyAlignment="1" applyProtection="1">
      <alignment horizontal="center"/>
      <protection locked="0"/>
    </xf>
    <xf numFmtId="164" fontId="5" fillId="0" borderId="8" xfId="4" applyNumberFormat="1" applyFont="1" applyFill="1" applyBorder="1" applyAlignment="1" applyProtection="1">
      <alignment horizontal="center"/>
      <protection locked="0"/>
    </xf>
    <xf numFmtId="165" fontId="5" fillId="0" borderId="8" xfId="4" applyNumberFormat="1" applyFont="1" applyFill="1" applyBorder="1" applyAlignment="1" applyProtection="1">
      <alignment horizontal="center"/>
    </xf>
    <xf numFmtId="165" fontId="5" fillId="0" borderId="9" xfId="4" applyNumberFormat="1" applyFont="1" applyFill="1" applyBorder="1" applyAlignment="1" applyProtection="1">
      <alignment horizontal="center"/>
    </xf>
    <xf numFmtId="164" fontId="5" fillId="0" borderId="10" xfId="4" applyNumberFormat="1" applyFont="1" applyFill="1" applyBorder="1" applyAlignment="1" applyProtection="1">
      <alignment horizontal="center"/>
      <protection locked="0"/>
    </xf>
    <xf numFmtId="164" fontId="5" fillId="0" borderId="11" xfId="4" applyNumberFormat="1" applyFont="1" applyFill="1" applyBorder="1" applyAlignment="1" applyProtection="1">
      <alignment horizontal="center"/>
      <protection locked="0"/>
    </xf>
    <xf numFmtId="165" fontId="5" fillId="0" borderId="11" xfId="4" applyNumberFormat="1" applyFont="1" applyFill="1" applyBorder="1" applyAlignment="1" applyProtection="1">
      <alignment horizontal="center"/>
    </xf>
    <xf numFmtId="165" fontId="5" fillId="0" borderId="12" xfId="4" applyNumberFormat="1" applyFont="1" applyFill="1" applyBorder="1" applyAlignment="1" applyProtection="1">
      <alignment horizontal="center"/>
    </xf>
    <xf numFmtId="1" fontId="0" fillId="0" borderId="0" xfId="0" applyNumberFormat="1"/>
    <xf numFmtId="0" fontId="6" fillId="0" borderId="0" xfId="0" applyFont="1"/>
    <xf numFmtId="0" fontId="2" fillId="3" borderId="1" xfId="0" applyFont="1" applyFill="1" applyBorder="1"/>
    <xf numFmtId="0" fontId="2" fillId="3" borderId="2" xfId="0" applyFont="1" applyFill="1" applyBorder="1"/>
    <xf numFmtId="0" fontId="2" fillId="3" borderId="2" xfId="0" applyFont="1" applyFill="1" applyBorder="1" applyAlignment="1">
      <alignment wrapText="1"/>
    </xf>
    <xf numFmtId="0" fontId="0" fillId="3" borderId="13" xfId="0" applyFill="1" applyBorder="1"/>
    <xf numFmtId="0" fontId="0" fillId="3" borderId="7" xfId="0" applyFill="1" applyBorder="1"/>
    <xf numFmtId="0" fontId="0" fillId="3" borderId="14" xfId="0" applyFill="1" applyBorder="1"/>
    <xf numFmtId="0" fontId="2" fillId="5" borderId="2" xfId="0" applyFont="1" applyFill="1" applyBorder="1"/>
    <xf numFmtId="0" fontId="2" fillId="6" borderId="2" xfId="0" applyFont="1" applyFill="1" applyBorder="1"/>
    <xf numFmtId="0" fontId="2" fillId="5" borderId="17" xfId="0" applyFont="1" applyFill="1" applyBorder="1" applyAlignment="1">
      <alignment wrapText="1"/>
    </xf>
    <xf numFmtId="0" fontId="2" fillId="5" borderId="18" xfId="0" applyFont="1" applyFill="1" applyBorder="1" applyAlignment="1">
      <alignment wrapText="1"/>
    </xf>
    <xf numFmtId="0" fontId="2" fillId="7" borderId="17" xfId="0" applyFont="1" applyFill="1" applyBorder="1" applyAlignment="1">
      <alignment wrapText="1"/>
    </xf>
    <xf numFmtId="0" fontId="2" fillId="6" borderId="17" xfId="0" applyFont="1" applyFill="1" applyBorder="1" applyAlignment="1">
      <alignment wrapText="1"/>
    </xf>
    <xf numFmtId="0" fontId="2" fillId="6" borderId="18" xfId="0" applyFont="1" applyFill="1" applyBorder="1" applyAlignment="1">
      <alignment wrapText="1"/>
    </xf>
    <xf numFmtId="0" fontId="2" fillId="8" borderId="17" xfId="0" applyFont="1" applyFill="1" applyBorder="1" applyAlignment="1">
      <alignment wrapText="1"/>
    </xf>
    <xf numFmtId="0" fontId="0" fillId="8" borderId="20" xfId="0" applyFill="1" applyBorder="1"/>
    <xf numFmtId="0" fontId="0" fillId="8" borderId="21" xfId="0" applyFill="1" applyBorder="1"/>
    <xf numFmtId="167" fontId="2" fillId="3" borderId="22" xfId="0" applyNumberFormat="1" applyFont="1" applyFill="1" applyBorder="1"/>
    <xf numFmtId="0" fontId="2" fillId="5" borderId="23" xfId="0" applyFont="1" applyFill="1" applyBorder="1"/>
    <xf numFmtId="0" fontId="2" fillId="5" borderId="22" xfId="0" applyFont="1" applyFill="1" applyBorder="1"/>
    <xf numFmtId="167" fontId="0" fillId="5" borderId="24" xfId="0" applyNumberFormat="1" applyFill="1" applyBorder="1"/>
    <xf numFmtId="167" fontId="0" fillId="5" borderId="25" xfId="0" applyNumberFormat="1" applyFill="1" applyBorder="1"/>
    <xf numFmtId="167" fontId="0" fillId="5" borderId="26" xfId="0" applyNumberFormat="1" applyFill="1" applyBorder="1"/>
    <xf numFmtId="167" fontId="2" fillId="5" borderId="23" xfId="0" applyNumberFormat="1" applyFont="1" applyFill="1" applyBorder="1"/>
    <xf numFmtId="167" fontId="0" fillId="7" borderId="27" xfId="2" applyNumberFormat="1" applyFont="1" applyFill="1" applyBorder="1"/>
    <xf numFmtId="167" fontId="0" fillId="7" borderId="28" xfId="2" applyNumberFormat="1" applyFont="1" applyFill="1" applyBorder="1"/>
    <xf numFmtId="167" fontId="2" fillId="7" borderId="29" xfId="0" applyNumberFormat="1" applyFont="1" applyFill="1" applyBorder="1"/>
    <xf numFmtId="167" fontId="0" fillId="4" borderId="27" xfId="2" applyNumberFormat="1" applyFont="1" applyFill="1" applyBorder="1"/>
    <xf numFmtId="167" fontId="2" fillId="4" borderId="29" xfId="0" applyNumberFormat="1" applyFont="1" applyFill="1" applyBorder="1"/>
    <xf numFmtId="0" fontId="2" fillId="6" borderId="22" xfId="0" applyFont="1" applyFill="1" applyBorder="1"/>
    <xf numFmtId="167" fontId="0" fillId="6" borderId="24" xfId="0" applyNumberFormat="1" applyFill="1" applyBorder="1"/>
    <xf numFmtId="167" fontId="0" fillId="6" borderId="25" xfId="0" applyNumberFormat="1" applyFill="1" applyBorder="1"/>
    <xf numFmtId="167" fontId="0" fillId="6" borderId="26" xfId="0" applyNumberFormat="1" applyFill="1" applyBorder="1"/>
    <xf numFmtId="167" fontId="2" fillId="6" borderId="21" xfId="0" applyNumberFormat="1" applyFont="1" applyFill="1" applyBorder="1"/>
    <xf numFmtId="167" fontId="0" fillId="8" borderId="27" xfId="2" applyNumberFormat="1" applyFont="1" applyFill="1" applyBorder="1"/>
    <xf numFmtId="167" fontId="0" fillId="8" borderId="28" xfId="2" applyNumberFormat="1" applyFont="1" applyFill="1" applyBorder="1"/>
    <xf numFmtId="167" fontId="2" fillId="8" borderId="29" xfId="0" applyNumberFormat="1" applyFont="1" applyFill="1" applyBorder="1"/>
    <xf numFmtId="0" fontId="2" fillId="4" borderId="18" xfId="0" applyFont="1" applyFill="1" applyBorder="1" applyAlignment="1">
      <alignment wrapText="1"/>
    </xf>
    <xf numFmtId="167" fontId="0" fillId="4" borderId="30" xfId="2" applyNumberFormat="1" applyFont="1" applyFill="1" applyBorder="1"/>
    <xf numFmtId="167" fontId="0" fillId="4" borderId="31" xfId="2" applyNumberFormat="1" applyFont="1" applyFill="1" applyBorder="1"/>
    <xf numFmtId="167" fontId="0" fillId="7" borderId="30" xfId="2" applyNumberFormat="1" applyFont="1" applyFill="1" applyBorder="1"/>
    <xf numFmtId="167" fontId="0" fillId="8" borderId="30" xfId="2" applyNumberFormat="1" applyFont="1" applyFill="1" applyBorder="1"/>
    <xf numFmtId="0" fontId="7" fillId="4" borderId="19" xfId="0" applyFont="1" applyFill="1" applyBorder="1" applyAlignment="1"/>
    <xf numFmtId="0" fontId="8" fillId="4" borderId="20" xfId="0" applyFont="1" applyFill="1" applyBorder="1"/>
    <xf numFmtId="0" fontId="9" fillId="4" borderId="20" xfId="0" applyFont="1" applyFill="1" applyBorder="1" applyAlignment="1"/>
    <xf numFmtId="0" fontId="7" fillId="4" borderId="20" xfId="0" applyFont="1" applyFill="1" applyBorder="1" applyAlignment="1"/>
    <xf numFmtId="0" fontId="8" fillId="4" borderId="21" xfId="0" applyFont="1" applyFill="1" applyBorder="1"/>
    <xf numFmtId="0" fontId="7" fillId="7" borderId="19" xfId="0" applyFont="1" applyFill="1" applyBorder="1" applyAlignment="1"/>
    <xf numFmtId="0" fontId="8" fillId="7" borderId="20" xfId="0" applyFont="1" applyFill="1" applyBorder="1"/>
    <xf numFmtId="0" fontId="8" fillId="7" borderId="21" xfId="0" applyFont="1" applyFill="1" applyBorder="1"/>
    <xf numFmtId="0" fontId="7" fillId="8" borderId="19" xfId="0" applyFont="1" applyFill="1" applyBorder="1" applyAlignment="1"/>
    <xf numFmtId="0" fontId="8" fillId="8" borderId="20" xfId="0" applyFont="1" applyFill="1" applyBorder="1"/>
    <xf numFmtId="0" fontId="10" fillId="0" borderId="0" xfId="0" applyFont="1"/>
    <xf numFmtId="0" fontId="0" fillId="0" borderId="32" xfId="0" applyBorder="1"/>
    <xf numFmtId="0" fontId="0" fillId="0" borderId="33" xfId="0" applyBorder="1"/>
    <xf numFmtId="0" fontId="0" fillId="0" borderId="34" xfId="0" applyBorder="1"/>
    <xf numFmtId="0" fontId="0" fillId="0" borderId="35" xfId="0" applyBorder="1"/>
    <xf numFmtId="0" fontId="0" fillId="0" borderId="0" xfId="0" applyBorder="1"/>
    <xf numFmtId="0" fontId="0" fillId="0" borderId="36" xfId="0" applyBorder="1"/>
    <xf numFmtId="0" fontId="0" fillId="0" borderId="37" xfId="0" applyBorder="1"/>
    <xf numFmtId="0" fontId="0" fillId="0" borderId="38" xfId="0" applyBorder="1"/>
    <xf numFmtId="0" fontId="0" fillId="0" borderId="39" xfId="0" applyBorder="1"/>
    <xf numFmtId="0" fontId="2" fillId="0" borderId="0" xfId="0" applyFont="1"/>
    <xf numFmtId="0" fontId="0" fillId="0" borderId="0" xfId="0" applyAlignment="1">
      <alignment wrapText="1"/>
    </xf>
    <xf numFmtId="0" fontId="12" fillId="0" borderId="0" xfId="0" applyFont="1"/>
    <xf numFmtId="0" fontId="6" fillId="0" borderId="0" xfId="0" applyFont="1" applyAlignment="1">
      <alignment wrapText="1"/>
    </xf>
    <xf numFmtId="0" fontId="11" fillId="10" borderId="40" xfId="0" applyFont="1" applyFill="1" applyBorder="1" applyAlignment="1">
      <alignment horizontal="center" vertical="center"/>
    </xf>
    <xf numFmtId="0" fontId="0" fillId="3" borderId="15" xfId="0" applyFill="1" applyBorder="1"/>
    <xf numFmtId="0" fontId="0" fillId="3" borderId="16" xfId="0" applyFill="1" applyBorder="1"/>
    <xf numFmtId="0" fontId="0" fillId="3" borderId="43" xfId="0" applyFill="1" applyBorder="1"/>
    <xf numFmtId="167" fontId="0" fillId="3" borderId="44" xfId="2" applyNumberFormat="1" applyFont="1" applyFill="1" applyBorder="1"/>
    <xf numFmtId="0" fontId="2" fillId="3" borderId="17" xfId="0" applyFont="1" applyFill="1" applyBorder="1" applyAlignment="1">
      <alignment wrapText="1"/>
    </xf>
    <xf numFmtId="0" fontId="2" fillId="3" borderId="45" xfId="0" applyFont="1" applyFill="1" applyBorder="1" applyAlignment="1">
      <alignment wrapText="1"/>
    </xf>
    <xf numFmtId="0" fontId="2" fillId="3" borderId="41" xfId="0" applyFont="1" applyFill="1" applyBorder="1"/>
    <xf numFmtId="166" fontId="0" fillId="9" borderId="42" xfId="1" applyNumberFormat="1" applyFont="1" applyFill="1" applyBorder="1" applyProtection="1">
      <protection locked="0"/>
    </xf>
    <xf numFmtId="166" fontId="0" fillId="9" borderId="42" xfId="0" applyNumberFormat="1" applyFill="1" applyBorder="1" applyProtection="1">
      <protection locked="0"/>
    </xf>
    <xf numFmtId="166" fontId="0" fillId="9" borderId="42" xfId="1" applyNumberFormat="1" applyFont="1" applyFill="1" applyBorder="1" applyAlignment="1">
      <alignment horizontal="center" vertical="center"/>
    </xf>
    <xf numFmtId="166" fontId="0" fillId="9" borderId="42" xfId="0" applyNumberFormat="1" applyFill="1" applyBorder="1" applyAlignment="1">
      <alignment horizontal="center" vertical="center"/>
    </xf>
    <xf numFmtId="166" fontId="0" fillId="9" borderId="52" xfId="1" applyNumberFormat="1" applyFont="1" applyFill="1" applyBorder="1" applyAlignment="1">
      <alignment horizontal="center" vertical="center"/>
    </xf>
    <xf numFmtId="166" fontId="0" fillId="9" borderId="51" xfId="1" applyNumberFormat="1" applyFont="1" applyFill="1" applyBorder="1" applyAlignment="1">
      <alignment horizontal="center" vertical="center"/>
    </xf>
    <xf numFmtId="0" fontId="0" fillId="3" borderId="13" xfId="0" applyFill="1" applyBorder="1" applyAlignment="1">
      <alignment vertical="center"/>
    </xf>
    <xf numFmtId="0" fontId="0" fillId="3" borderId="15" xfId="0" applyFill="1" applyBorder="1" applyAlignment="1">
      <alignment vertical="center"/>
    </xf>
    <xf numFmtId="167" fontId="0" fillId="3" borderId="44" xfId="2" applyNumberFormat="1" applyFont="1" applyFill="1" applyBorder="1" applyAlignment="1">
      <alignment vertical="center"/>
    </xf>
    <xf numFmtId="167" fontId="0" fillId="4" borderId="30" xfId="2" applyNumberFormat="1" applyFont="1" applyFill="1" applyBorder="1" applyAlignment="1">
      <alignment vertical="center"/>
    </xf>
    <xf numFmtId="167" fontId="0" fillId="7" borderId="30" xfId="2" applyNumberFormat="1" applyFont="1" applyFill="1" applyBorder="1" applyAlignment="1">
      <alignment vertical="center"/>
    </xf>
    <xf numFmtId="167" fontId="0" fillId="5" borderId="46" xfId="0" applyNumberFormat="1" applyFill="1" applyBorder="1" applyAlignment="1">
      <alignment vertical="center"/>
    </xf>
    <xf numFmtId="167" fontId="0" fillId="8" borderId="30" xfId="2" applyNumberFormat="1" applyFont="1" applyFill="1" applyBorder="1" applyAlignment="1">
      <alignment vertical="center"/>
    </xf>
    <xf numFmtId="167" fontId="0" fillId="6" borderId="24" xfId="0" applyNumberFormat="1" applyFill="1" applyBorder="1" applyAlignment="1">
      <alignment vertical="center"/>
    </xf>
    <xf numFmtId="0" fontId="0" fillId="3" borderId="7" xfId="0" applyFill="1" applyBorder="1" applyAlignment="1">
      <alignment vertical="center"/>
    </xf>
    <xf numFmtId="0" fontId="0" fillId="3" borderId="16" xfId="0" applyFill="1" applyBorder="1" applyAlignment="1">
      <alignment vertical="center"/>
    </xf>
    <xf numFmtId="167" fontId="0" fillId="4" borderId="27" xfId="2" applyNumberFormat="1" applyFont="1" applyFill="1" applyBorder="1" applyAlignment="1">
      <alignment vertical="center"/>
    </xf>
    <xf numFmtId="167" fontId="0" fillId="7" borderId="27" xfId="2" applyNumberFormat="1" applyFont="1" applyFill="1" applyBorder="1" applyAlignment="1">
      <alignment vertical="center"/>
    </xf>
    <xf numFmtId="167" fontId="0" fillId="5" borderId="47" xfId="0" applyNumberFormat="1" applyFill="1" applyBorder="1" applyAlignment="1">
      <alignment vertical="center"/>
    </xf>
    <xf numFmtId="167" fontId="0" fillId="8" borderId="27" xfId="2" applyNumberFormat="1" applyFont="1" applyFill="1" applyBorder="1" applyAlignment="1">
      <alignment vertical="center"/>
    </xf>
    <xf numFmtId="167" fontId="0" fillId="6" borderId="25" xfId="0" applyNumberFormat="1" applyFill="1" applyBorder="1" applyAlignment="1">
      <alignment vertical="center"/>
    </xf>
    <xf numFmtId="0" fontId="0" fillId="3" borderId="14" xfId="0" applyFill="1" applyBorder="1" applyAlignment="1">
      <alignment vertical="center"/>
    </xf>
    <xf numFmtId="0" fontId="0" fillId="3" borderId="43" xfId="0" applyFill="1" applyBorder="1" applyAlignment="1">
      <alignment vertical="center"/>
    </xf>
    <xf numFmtId="167" fontId="0" fillId="4" borderId="31" xfId="2" applyNumberFormat="1" applyFont="1" applyFill="1" applyBorder="1" applyAlignment="1">
      <alignment vertical="center"/>
    </xf>
    <xf numFmtId="167" fontId="0" fillId="7" borderId="28" xfId="2" applyNumberFormat="1" applyFont="1" applyFill="1" applyBorder="1" applyAlignment="1">
      <alignment vertical="center"/>
    </xf>
    <xf numFmtId="167" fontId="0" fillId="5" borderId="48" xfId="0" applyNumberFormat="1" applyFill="1" applyBorder="1" applyAlignment="1">
      <alignment vertical="center"/>
    </xf>
    <xf numFmtId="167" fontId="0" fillId="8" borderId="28" xfId="2" applyNumberFormat="1" applyFont="1" applyFill="1" applyBorder="1" applyAlignment="1">
      <alignment vertical="center"/>
    </xf>
    <xf numFmtId="167" fontId="0" fillId="6" borderId="26" xfId="0" applyNumberFormat="1" applyFill="1" applyBorder="1" applyAlignment="1">
      <alignment vertical="center"/>
    </xf>
    <xf numFmtId="0" fontId="2" fillId="3" borderId="1" xfId="0" applyFont="1" applyFill="1" applyBorder="1" applyAlignment="1">
      <alignment vertical="center"/>
    </xf>
    <xf numFmtId="0" fontId="2" fillId="3" borderId="2" xfId="0" applyFont="1" applyFill="1" applyBorder="1" applyAlignment="1">
      <alignment vertical="center"/>
    </xf>
    <xf numFmtId="0" fontId="2" fillId="3" borderId="41" xfId="0" applyFont="1" applyFill="1" applyBorder="1" applyAlignment="1">
      <alignment vertical="center"/>
    </xf>
    <xf numFmtId="167" fontId="2" fillId="3" borderId="22" xfId="0" applyNumberFormat="1" applyFont="1" applyFill="1" applyBorder="1" applyAlignment="1">
      <alignment vertical="center"/>
    </xf>
    <xf numFmtId="167" fontId="2" fillId="4" borderId="29" xfId="0" applyNumberFormat="1" applyFont="1" applyFill="1" applyBorder="1" applyAlignment="1">
      <alignment vertical="center"/>
    </xf>
    <xf numFmtId="0" fontId="2" fillId="5" borderId="49" xfId="0" applyFont="1" applyFill="1" applyBorder="1" applyAlignment="1">
      <alignment vertical="center"/>
    </xf>
    <xf numFmtId="0" fontId="2" fillId="5" borderId="41" xfId="0" applyFont="1" applyFill="1" applyBorder="1" applyAlignment="1">
      <alignment vertical="center"/>
    </xf>
    <xf numFmtId="0" fontId="2" fillId="5" borderId="50" xfId="0" applyFont="1" applyFill="1" applyBorder="1" applyAlignment="1">
      <alignment vertical="center"/>
    </xf>
    <xf numFmtId="167" fontId="2" fillId="7" borderId="29" xfId="0" applyNumberFormat="1" applyFont="1" applyFill="1" applyBorder="1" applyAlignment="1">
      <alignment vertical="center"/>
    </xf>
    <xf numFmtId="167" fontId="2" fillId="5" borderId="23" xfId="0" applyNumberFormat="1" applyFont="1" applyFill="1" applyBorder="1" applyAlignment="1">
      <alignment vertical="center"/>
    </xf>
    <xf numFmtId="0" fontId="2" fillId="6" borderId="41" xfId="0" applyFont="1" applyFill="1" applyBorder="1" applyAlignment="1">
      <alignment vertical="center"/>
    </xf>
    <xf numFmtId="0" fontId="2" fillId="6" borderId="50" xfId="0" applyFont="1" applyFill="1" applyBorder="1" applyAlignment="1">
      <alignment vertical="center"/>
    </xf>
    <xf numFmtId="167" fontId="2" fillId="8" borderId="29" xfId="0" applyNumberFormat="1" applyFont="1" applyFill="1" applyBorder="1" applyAlignment="1">
      <alignment vertical="center"/>
    </xf>
    <xf numFmtId="167" fontId="2" fillId="6" borderId="21" xfId="0" applyNumberFormat="1" applyFont="1" applyFill="1" applyBorder="1" applyAlignment="1">
      <alignment vertical="center"/>
    </xf>
  </cellXfs>
  <cellStyles count="5">
    <cellStyle name="Comma" xfId="1" builtinId="3"/>
    <cellStyle name="Currency" xfId="2" builtinId="4"/>
    <cellStyle name="Normal" xfId="0" builtinId="0"/>
    <cellStyle name="Normal 42" xfId="3" xr:uid="{EAFA2610-8A3D-4E6E-89CE-7E48F9E116DC}"/>
    <cellStyle name="Normal_Template WILKS Tariff Model" xfId="4" xr:uid="{5077526A-0B4B-4E70-B037-007851E66AC1}"/>
  </cellStyles>
  <dxfs count="0"/>
  <tableStyles count="0" defaultTableStyle="TableStyleMedium2" defaultPivotStyle="PivotStyleLight16"/>
  <colors>
    <mruColors>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28575</xdr:colOff>
      <xdr:row>0</xdr:row>
      <xdr:rowOff>23066</xdr:rowOff>
    </xdr:from>
    <xdr:to>
      <xdr:col>12</xdr:col>
      <xdr:colOff>857250</xdr:colOff>
      <xdr:row>2</xdr:row>
      <xdr:rowOff>123823</xdr:rowOff>
    </xdr:to>
    <xdr:pic>
      <xdr:nvPicPr>
        <xdr:cNvPr id="7" name="Picture 6">
          <a:extLst>
            <a:ext uri="{FF2B5EF4-FFF2-40B4-BE49-F238E27FC236}">
              <a16:creationId xmlns:a16="http://schemas.microsoft.com/office/drawing/2014/main" id="{84945E04-E7F7-479E-B704-467C64A90E93}"/>
            </a:ext>
          </a:extLst>
        </xdr:cNvPr>
        <xdr:cNvPicPr>
          <a:picLocks noChangeAspect="1"/>
        </xdr:cNvPicPr>
      </xdr:nvPicPr>
      <xdr:blipFill>
        <a:blip xmlns:r="http://schemas.openxmlformats.org/officeDocument/2006/relationships" r:embed="rId1"/>
        <a:stretch>
          <a:fillRect/>
        </a:stretch>
      </xdr:blipFill>
      <xdr:spPr>
        <a:xfrm>
          <a:off x="6448425" y="23066"/>
          <a:ext cx="4257675" cy="691307"/>
        </a:xfrm>
        <a:prstGeom prst="rect">
          <a:avLst/>
        </a:prstGeom>
      </xdr:spPr>
    </xdr:pic>
    <xdr:clientData/>
  </xdr:twoCellAnchor>
  <xdr:twoCellAnchor editAs="oneCell">
    <xdr:from>
      <xdr:col>13</xdr:col>
      <xdr:colOff>76200</xdr:colOff>
      <xdr:row>0</xdr:row>
      <xdr:rowOff>28575</xdr:rowOff>
    </xdr:from>
    <xdr:to>
      <xdr:col>17</xdr:col>
      <xdr:colOff>819149</xdr:colOff>
      <xdr:row>2</xdr:row>
      <xdr:rowOff>104775</xdr:rowOff>
    </xdr:to>
    <xdr:pic>
      <xdr:nvPicPr>
        <xdr:cNvPr id="4" name="Picture 3">
          <a:extLst>
            <a:ext uri="{FF2B5EF4-FFF2-40B4-BE49-F238E27FC236}">
              <a16:creationId xmlns:a16="http://schemas.microsoft.com/office/drawing/2014/main" id="{2CB0472B-06D0-4A2D-8947-A4DE77ECC6AD}"/>
            </a:ext>
          </a:extLst>
        </xdr:cNvPr>
        <xdr:cNvPicPr>
          <a:picLocks noChangeAspect="1"/>
        </xdr:cNvPicPr>
      </xdr:nvPicPr>
      <xdr:blipFill>
        <a:blip xmlns:r="http://schemas.openxmlformats.org/officeDocument/2006/relationships" r:embed="rId2"/>
        <a:stretch>
          <a:fillRect/>
        </a:stretch>
      </xdr:blipFill>
      <xdr:spPr>
        <a:xfrm>
          <a:off x="10810875" y="28575"/>
          <a:ext cx="4200524" cy="6667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28575</xdr:colOff>
      <xdr:row>0</xdr:row>
      <xdr:rowOff>23066</xdr:rowOff>
    </xdr:from>
    <xdr:to>
      <xdr:col>12</xdr:col>
      <xdr:colOff>857250</xdr:colOff>
      <xdr:row>2</xdr:row>
      <xdr:rowOff>123823</xdr:rowOff>
    </xdr:to>
    <xdr:pic>
      <xdr:nvPicPr>
        <xdr:cNvPr id="9" name="Picture 8">
          <a:extLst>
            <a:ext uri="{FF2B5EF4-FFF2-40B4-BE49-F238E27FC236}">
              <a16:creationId xmlns:a16="http://schemas.microsoft.com/office/drawing/2014/main" id="{EBA591C2-64D7-47EB-8CA6-33B569EC426C}"/>
            </a:ext>
          </a:extLst>
        </xdr:cNvPr>
        <xdr:cNvPicPr>
          <a:picLocks noChangeAspect="1"/>
        </xdr:cNvPicPr>
      </xdr:nvPicPr>
      <xdr:blipFill>
        <a:blip xmlns:r="http://schemas.openxmlformats.org/officeDocument/2006/relationships" r:embed="rId1"/>
        <a:stretch>
          <a:fillRect/>
        </a:stretch>
      </xdr:blipFill>
      <xdr:spPr>
        <a:xfrm>
          <a:off x="6448425" y="23066"/>
          <a:ext cx="4257675" cy="691307"/>
        </a:xfrm>
        <a:prstGeom prst="rect">
          <a:avLst/>
        </a:prstGeom>
      </xdr:spPr>
    </xdr:pic>
    <xdr:clientData/>
  </xdr:twoCellAnchor>
  <xdr:twoCellAnchor editAs="oneCell">
    <xdr:from>
      <xdr:col>13</xdr:col>
      <xdr:colOff>76200</xdr:colOff>
      <xdr:row>0</xdr:row>
      <xdr:rowOff>28575</xdr:rowOff>
    </xdr:from>
    <xdr:to>
      <xdr:col>17</xdr:col>
      <xdr:colOff>819149</xdr:colOff>
      <xdr:row>2</xdr:row>
      <xdr:rowOff>104775</xdr:rowOff>
    </xdr:to>
    <xdr:pic>
      <xdr:nvPicPr>
        <xdr:cNvPr id="5" name="Picture 4">
          <a:extLst>
            <a:ext uri="{FF2B5EF4-FFF2-40B4-BE49-F238E27FC236}">
              <a16:creationId xmlns:a16="http://schemas.microsoft.com/office/drawing/2014/main" id="{4153CB5F-5017-4BC2-B358-6B79029CD122}"/>
            </a:ext>
          </a:extLst>
        </xdr:cNvPr>
        <xdr:cNvPicPr>
          <a:picLocks noChangeAspect="1"/>
        </xdr:cNvPicPr>
      </xdr:nvPicPr>
      <xdr:blipFill>
        <a:blip xmlns:r="http://schemas.openxmlformats.org/officeDocument/2006/relationships" r:embed="rId2"/>
        <a:stretch>
          <a:fillRect/>
        </a:stretch>
      </xdr:blipFill>
      <xdr:spPr>
        <a:xfrm>
          <a:off x="10810875" y="28575"/>
          <a:ext cx="4200524" cy="66675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E7D3B4-1BF0-4A67-A841-4406F8A270E2}">
  <sheetPr codeName="Sheet1"/>
  <dimension ref="B2:B4"/>
  <sheetViews>
    <sheetView showGridLines="0" showRowColHeaders="0" workbookViewId="0">
      <selection activeCell="B13" sqref="B13"/>
    </sheetView>
  </sheetViews>
  <sheetFormatPr defaultRowHeight="15" x14ac:dyDescent="0.25"/>
  <cols>
    <col min="1" max="1" width="3.5703125" customWidth="1"/>
    <col min="2" max="2" width="123.7109375" customWidth="1"/>
  </cols>
  <sheetData>
    <row r="2" spans="2:2" ht="21" x14ac:dyDescent="0.35">
      <c r="B2" s="81" t="s">
        <v>0</v>
      </c>
    </row>
    <row r="4" spans="2:2" ht="75" x14ac:dyDescent="0.3">
      <c r="B4" s="82" t="s">
        <v>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1E2758-B295-4B6E-9418-08F8BAC7D509}">
  <sheetPr codeName="Sheet2"/>
  <dimension ref="B2:B9"/>
  <sheetViews>
    <sheetView showGridLines="0" showRowColHeaders="0" workbookViewId="0">
      <selection activeCell="B5" sqref="B5"/>
    </sheetView>
  </sheetViews>
  <sheetFormatPr defaultColWidth="9.140625" defaultRowHeight="15" x14ac:dyDescent="0.25"/>
  <cols>
    <col min="1" max="1" width="4.5703125" customWidth="1"/>
    <col min="2" max="2" width="150.7109375" customWidth="1"/>
  </cols>
  <sheetData>
    <row r="2" spans="2:2" x14ac:dyDescent="0.25">
      <c r="B2" s="79" t="s">
        <v>2</v>
      </c>
    </row>
    <row r="4" spans="2:2" ht="30" x14ac:dyDescent="0.25">
      <c r="B4" s="80" t="s">
        <v>3</v>
      </c>
    </row>
    <row r="5" spans="2:2" x14ac:dyDescent="0.25">
      <c r="B5" s="80" t="s">
        <v>4</v>
      </c>
    </row>
    <row r="6" spans="2:2" ht="30" x14ac:dyDescent="0.25">
      <c r="B6" s="80" t="s">
        <v>5</v>
      </c>
    </row>
    <row r="7" spans="2:2" x14ac:dyDescent="0.25">
      <c r="B7" t="s">
        <v>6</v>
      </c>
    </row>
    <row r="9" spans="2:2" x14ac:dyDescent="0.25">
      <c r="B9" t="s">
        <v>7</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68EF05-3462-40DD-9164-846BFE27EA03}">
  <sheetPr codeName="Sheet3"/>
  <dimension ref="A1:AS10"/>
  <sheetViews>
    <sheetView showGridLines="0" tabSelected="1" zoomScaleNormal="100" workbookViewId="0">
      <selection activeCell="M9" sqref="M9"/>
    </sheetView>
  </sheetViews>
  <sheetFormatPr defaultColWidth="0" defaultRowHeight="0" customHeight="1" zeroHeight="1" x14ac:dyDescent="0.25"/>
  <cols>
    <col min="1" max="1" width="1.28515625" customWidth="1"/>
    <col min="2" max="3" width="15.140625" customWidth="1"/>
    <col min="4" max="6" width="12.7109375" customWidth="1"/>
    <col min="7" max="8" width="13.28515625" customWidth="1"/>
    <col min="9" max="11" width="12.7109375" customWidth="1"/>
    <col min="12" max="13" width="13.28515625" customWidth="1"/>
    <col min="14" max="16" width="12.7109375" customWidth="1"/>
    <col min="17" max="18" width="13.7109375" customWidth="1"/>
    <col min="19" max="19" width="1.140625" customWidth="1"/>
    <col min="20" max="16384" width="8.7109375" hidden="1"/>
  </cols>
  <sheetData>
    <row r="1" spans="2:45" ht="31.5" x14ac:dyDescent="0.5">
      <c r="B1" s="69" t="s">
        <v>8</v>
      </c>
      <c r="C1" s="17"/>
      <c r="I1" s="70"/>
      <c r="J1" s="71"/>
      <c r="K1" s="71"/>
      <c r="L1" s="71"/>
      <c r="M1" s="72"/>
      <c r="N1" s="70"/>
      <c r="O1" s="71"/>
      <c r="P1" s="71"/>
      <c r="Q1" s="71"/>
      <c r="R1" s="72"/>
    </row>
    <row r="2" spans="2:45" ht="15" x14ac:dyDescent="0.25">
      <c r="I2" s="73"/>
      <c r="J2" s="74"/>
      <c r="K2" s="74"/>
      <c r="L2" s="74"/>
      <c r="M2" s="75"/>
      <c r="N2" s="73"/>
      <c r="O2" s="74"/>
      <c r="P2" s="74"/>
      <c r="Q2" s="74"/>
      <c r="R2" s="75"/>
    </row>
    <row r="3" spans="2:45" ht="15.75" thickBot="1" x14ac:dyDescent="0.3">
      <c r="I3" s="76"/>
      <c r="J3" s="77"/>
      <c r="K3" s="77"/>
      <c r="L3" s="77"/>
      <c r="M3" s="78"/>
      <c r="N3" s="76"/>
      <c r="O3" s="77"/>
      <c r="P3" s="77"/>
      <c r="Q3" s="77"/>
      <c r="R3" s="78"/>
    </row>
    <row r="4" spans="2:45" ht="25.5" customHeight="1" thickBot="1" x14ac:dyDescent="0.45">
      <c r="B4" s="59" t="s">
        <v>9</v>
      </c>
      <c r="C4" s="60"/>
      <c r="D4" s="60"/>
      <c r="E4" s="61"/>
      <c r="F4" s="83">
        <v>2</v>
      </c>
      <c r="G4" s="62"/>
      <c r="H4" s="63"/>
      <c r="I4" s="64" t="s">
        <v>10</v>
      </c>
      <c r="J4" s="65"/>
      <c r="K4" s="65"/>
      <c r="L4" s="65"/>
      <c r="M4" s="66"/>
      <c r="N4" s="67" t="s">
        <v>11</v>
      </c>
      <c r="O4" s="68"/>
      <c r="P4" s="68"/>
      <c r="Q4" s="32"/>
      <c r="R4" s="33"/>
    </row>
    <row r="5" spans="2:45" ht="51" customHeight="1" thickBot="1" x14ac:dyDescent="0.3">
      <c r="B5" s="18" t="s">
        <v>12</v>
      </c>
      <c r="C5" s="19" t="s">
        <v>13</v>
      </c>
      <c r="D5" s="88" t="s">
        <v>14</v>
      </c>
      <c r="E5" s="88" t="s">
        <v>15</v>
      </c>
      <c r="F5" s="88" t="s">
        <v>16</v>
      </c>
      <c r="G5" s="20" t="s">
        <v>17</v>
      </c>
      <c r="H5" s="54" t="s">
        <v>18</v>
      </c>
      <c r="I5" s="26" t="s">
        <v>19</v>
      </c>
      <c r="J5" s="26" t="s">
        <v>20</v>
      </c>
      <c r="K5" s="26" t="s">
        <v>21</v>
      </c>
      <c r="L5" s="28" t="s">
        <v>22</v>
      </c>
      <c r="M5" s="27" t="s">
        <v>23</v>
      </c>
      <c r="N5" s="29" t="s">
        <v>24</v>
      </c>
      <c r="O5" s="29" t="s">
        <v>25</v>
      </c>
      <c r="P5" s="29" t="s">
        <v>26</v>
      </c>
      <c r="Q5" s="31" t="s">
        <v>27</v>
      </c>
      <c r="R5" s="30" t="s">
        <v>28</v>
      </c>
    </row>
    <row r="6" spans="2:45" ht="20.25" customHeight="1" thickTop="1" thickBot="1" x14ac:dyDescent="0.3">
      <c r="B6" s="97" t="s">
        <v>29</v>
      </c>
      <c r="C6" s="98" t="s">
        <v>30</v>
      </c>
      <c r="D6" s="93">
        <f ca="1">AQ6*1.5</f>
        <v>122764.5</v>
      </c>
      <c r="E6" s="94">
        <f ca="1">D6*RANDBETWEEN(5,10)/100</f>
        <v>9821.16</v>
      </c>
      <c r="F6" s="94">
        <f ca="1">E6*$F$4</f>
        <v>19642.32</v>
      </c>
      <c r="G6" s="99">
        <f ca="1">(D6*VLOOKUP(VLOOKUP(MID($B6,4,1),Tariffs!$I$4:$J$17,2,0),Tariffs!$B$3:$F$16,4,0)/100)+(E6*VLOOKUP(VLOOKUP(MID($B6,4,1),Tariffs!$I$4:$J$17,2,0),Tariffs!$B$3:$F$16,3,0))-(F6*VLOOKUP(VLOOKUP(MID($B6,4,1),Tariffs!$I$4:$J$17,2,0),Tariffs!$B$3:$F$16,5,0))</f>
        <v>137420.82331236015</v>
      </c>
      <c r="H6" s="100">
        <f ca="1">IF((E6*VLOOKUP(VLOOKUP(MID($B6,4,1),Tariffs!$I$4:$J$17,2,0),Tariffs!$B$3:$F$16,3,0))-(F6*VLOOKUP(VLOOKUP(MID($B6,4,1),Tariffs!$I$4:$J$17,2,0),Tariffs!$B$3:$F$16,5,0))&lt;0,D6*VLOOKUP(VLOOKUP(MID($B6,4,1),Tariffs!$I$4:$J$17,2,0),Tariffs!$B$3:$F$16,4,0)/100,G6)</f>
        <v>137420.82331236015</v>
      </c>
      <c r="I6" s="95">
        <f ca="1">D6*$AR6/100</f>
        <v>119081.565</v>
      </c>
      <c r="J6" s="93">
        <f t="shared" ref="J6:K8" ca="1" si="0">E6*$AR6/100</f>
        <v>9526.5252</v>
      </c>
      <c r="K6" s="96">
        <f t="shared" ca="1" si="0"/>
        <v>19053.0504</v>
      </c>
      <c r="L6" s="101">
        <f ca="1">(I6*VLOOKUP(VLOOKUP(MID($B6,4,1),Tariffs!$I$4:$J$17,2,0),Tariffs!$B$3:$F$16,4,0)/100)+(J6*VLOOKUP(VLOOKUP(MID($B6,4,1),Tariffs!$I$4:$J$17,2,0),Tariffs!$B$3:$F$16,3,0))-(K6*VLOOKUP(VLOOKUP(MID($B6,4,1),Tariffs!$I$4:$J$17,2,0),Tariffs!$B$3:$F$16,5,0))</f>
        <v>133298.19861298928</v>
      </c>
      <c r="M6" s="102">
        <f ca="1">L6-H6</f>
        <v>-4122.6246993708774</v>
      </c>
      <c r="N6" s="93">
        <f ca="1">I6*$AS6/1000</f>
        <v>118128.91248</v>
      </c>
      <c r="O6" s="93">
        <f t="shared" ref="O6:P8" ca="1" si="1">J6*$AS6/1000</f>
        <v>9450.3129984000007</v>
      </c>
      <c r="P6" s="96">
        <f t="shared" ca="1" si="1"/>
        <v>18900.625996800001</v>
      </c>
      <c r="Q6" s="103">
        <f ca="1">(N6*VLOOKUP(VLOOKUP(MID($B6,4,1),Tariffs!$I$4:$J$17,2,0),Tariffs!$B$3:$F$16,4,0)/100)+(O6*VLOOKUP(VLOOKUP(MID($B6,4,1),Tariffs!$I$4:$J$17,2,0),Tariffs!$B$3:$F$16,3,0))-(P6*VLOOKUP(VLOOKUP(MID($B6,4,1),Tariffs!$I$4:$J$17,2,0),Tariffs!$B$3:$F$16,5,0))</f>
        <v>132231.81302408531</v>
      </c>
      <c r="R6" s="104">
        <f ca="1">Q6-L6</f>
        <v>-1066.3855889039696</v>
      </c>
      <c r="AQ6" s="16">
        <f ca="1">RANDBETWEEN(70000,130000)</f>
        <v>81843</v>
      </c>
      <c r="AR6">
        <f ca="1">RANDBETWEEN(95,105)</f>
        <v>97</v>
      </c>
      <c r="AS6">
        <f ca="1">RANDBETWEEN(990,1010)</f>
        <v>992</v>
      </c>
    </row>
    <row r="7" spans="2:45" ht="20.25" customHeight="1" thickBot="1" x14ac:dyDescent="0.3">
      <c r="B7" s="105" t="s">
        <v>31</v>
      </c>
      <c r="C7" s="106" t="s">
        <v>32</v>
      </c>
      <c r="D7" s="93">
        <v>0</v>
      </c>
      <c r="E7" s="94">
        <f ca="1">E6*5</f>
        <v>49105.8</v>
      </c>
      <c r="F7" s="94">
        <v>0</v>
      </c>
      <c r="G7" s="99">
        <f ca="1">(D7*VLOOKUP(VLOOKUP(MID($B7,4,1),Tariffs!$I$4:$J$17,2,0),Tariffs!$B$3:$F$16,4,0)/100)+(E7*VLOOKUP(VLOOKUP(MID($B7,4,1),Tariffs!$I$4:$J$17,2,0),Tariffs!$B$3:$F$16,3,0))-(F7*VLOOKUP(VLOOKUP(MID($B7,4,1),Tariffs!$I$4:$J$17,2,0),Tariffs!$B$3:$F$16,5,0))</f>
        <v>2525991.0576660004</v>
      </c>
      <c r="H7" s="107">
        <f ca="1">IF((E7*VLOOKUP(VLOOKUP(MID($B7,4,1),Tariffs!$I$4:$J$17,2,0),Tariffs!$B$3:$F$16,3,0))-(F7*VLOOKUP(VLOOKUP(MID($B7,4,1),Tariffs!$I$4:$J$17,2,0),Tariffs!$B$3:$F$16,5,0))&lt;0,D7*VLOOKUP(VLOOKUP(MID($B7,4,1),Tariffs!$I$4:$J$17,2,0),Tariffs!$B$3:$F$16,4,0)/100,G7)</f>
        <v>2525991.0576660004</v>
      </c>
      <c r="I7" s="95">
        <f t="shared" ref="I7:I8" ca="1" si="2">D7*$AR7/100</f>
        <v>0</v>
      </c>
      <c r="J7" s="93">
        <f t="shared" ca="1" si="0"/>
        <v>48614.741999999998</v>
      </c>
      <c r="K7" s="96">
        <f t="shared" ca="1" si="0"/>
        <v>0</v>
      </c>
      <c r="L7" s="108">
        <f ca="1">(I7*VLOOKUP(VLOOKUP(MID($B7,4,1),Tariffs!$I$4:$J$17,2,0),Tariffs!$B$3:$F$16,4,0)/100)+(J7*VLOOKUP(VLOOKUP(MID($B7,4,1),Tariffs!$I$4:$J$17,2,0),Tariffs!$B$3:$F$16,3,0))-(K7*VLOOKUP(VLOOKUP(MID($B7,4,1),Tariffs!$I$4:$J$17,2,0),Tariffs!$B$3:$F$16,5,0))</f>
        <v>2500731.1470893403</v>
      </c>
      <c r="M7" s="109">
        <f t="shared" ref="M7:M8" ca="1" si="3">L7-H7</f>
        <v>-25259.910576660186</v>
      </c>
      <c r="N7" s="93">
        <f t="shared" ref="N7:N8" ca="1" si="4">I7*$AS7/1000</f>
        <v>0</v>
      </c>
      <c r="O7" s="93">
        <f t="shared" ca="1" si="1"/>
        <v>48955.045193999998</v>
      </c>
      <c r="P7" s="96">
        <f t="shared" ca="1" si="1"/>
        <v>0</v>
      </c>
      <c r="Q7" s="110">
        <f ca="1">(N7*VLOOKUP(VLOOKUP(MID($B7,4,1),Tariffs!$I$4:$J$17,2,0),Tariffs!$B$3:$F$16,4,0)/100)+(O7*VLOOKUP(VLOOKUP(MID($B7,4,1),Tariffs!$I$4:$J$17,2,0),Tariffs!$B$3:$F$16,3,0))-(P7*VLOOKUP(VLOOKUP(MID($B7,4,1),Tariffs!$I$4:$J$17,2,0),Tariffs!$B$3:$F$16,5,0))</f>
        <v>2518236.2651189654</v>
      </c>
      <c r="R7" s="111">
        <f t="shared" ref="R7:R8" ca="1" si="5">Q7-L7</f>
        <v>17505.118029625155</v>
      </c>
      <c r="AQ7" s="16">
        <f t="shared" ref="AQ7:AQ8" ca="1" si="6">RANDBETWEEN(70000,130000)</f>
        <v>110715</v>
      </c>
      <c r="AR7">
        <f t="shared" ref="AR7:AR8" ca="1" si="7">RANDBETWEEN(95,105)</f>
        <v>99</v>
      </c>
      <c r="AS7">
        <f t="shared" ref="AS7:AS8" ca="1" si="8">RANDBETWEEN(990,1010)</f>
        <v>1007</v>
      </c>
    </row>
    <row r="8" spans="2:45" ht="20.25" customHeight="1" thickBot="1" x14ac:dyDescent="0.3">
      <c r="B8" s="112" t="s">
        <v>33</v>
      </c>
      <c r="C8" s="113" t="s">
        <v>34</v>
      </c>
      <c r="D8" s="93">
        <v>0</v>
      </c>
      <c r="E8" s="94">
        <f t="shared" ref="E8" si="9">D8*0.02</f>
        <v>0</v>
      </c>
      <c r="F8" s="94">
        <f t="shared" ref="F8" si="10">E8*$F$4</f>
        <v>0</v>
      </c>
      <c r="G8" s="99">
        <f>(D8*VLOOKUP(VLOOKUP(MID($B8,4,1),Tariffs!$I$4:$J$17,2,0),Tariffs!$B$3:$F$16,4,0)/100)+(E8*VLOOKUP(VLOOKUP(MID($B8,4,1),Tariffs!$I$4:$J$17,2,0),Tariffs!$B$3:$F$16,3,0))-(F8*VLOOKUP(VLOOKUP(MID($B8,4,1),Tariffs!$I$4:$J$17,2,0),Tariffs!$B$3:$F$16,5,0))</f>
        <v>0</v>
      </c>
      <c r="H8" s="114">
        <f>IF((E8*VLOOKUP(VLOOKUP(MID($B8,4,1),Tariffs!$I$4:$J$17,2,0),Tariffs!$B$3:$F$16,3,0))-(F8*VLOOKUP(VLOOKUP(MID($B8,4,1),Tariffs!$I$4:$J$17,2,0),Tariffs!$B$3:$F$16,5,0))&lt;0,D8*VLOOKUP(VLOOKUP(MID($B8,4,1),Tariffs!$I$4:$J$17,2,0),Tariffs!$B$3:$F$16,4,0)/100,G8)</f>
        <v>0</v>
      </c>
      <c r="I8" s="95">
        <f t="shared" ca="1" si="2"/>
        <v>0</v>
      </c>
      <c r="J8" s="93">
        <f t="shared" ca="1" si="0"/>
        <v>0</v>
      </c>
      <c r="K8" s="96">
        <f ca="1">SUM(F6:F7)*F4*0.05</f>
        <v>1964.232</v>
      </c>
      <c r="L8" s="115">
        <f ca="1">(I8*VLOOKUP(VLOOKUP(MID($B8,4,1),Tariffs!$I$4:$J$17,2,0),Tariffs!$B$3:$F$16,4,0)/100)+(J8*VLOOKUP(VLOOKUP(MID($B8,4,1),Tariffs!$I$4:$J$17,2,0),Tariffs!$B$3:$F$16,3,0))-(K8*VLOOKUP(VLOOKUP(MID($B8,4,1),Tariffs!$I$4:$J$17,2,0),Tariffs!$B$3:$F$16,5,0))</f>
        <v>-35391.510569448001</v>
      </c>
      <c r="M8" s="116">
        <f t="shared" ca="1" si="3"/>
        <v>-35391.510569448001</v>
      </c>
      <c r="N8" s="93">
        <f t="shared" ca="1" si="4"/>
        <v>0</v>
      </c>
      <c r="O8" s="93">
        <f t="shared" ca="1" si="1"/>
        <v>0</v>
      </c>
      <c r="P8" s="96">
        <f t="shared" ca="1" si="1"/>
        <v>1944.58968</v>
      </c>
      <c r="Q8" s="117">
        <f ca="1">(N8*VLOOKUP(VLOOKUP(MID($B8,4,1),Tariffs!$I$4:$J$17,2,0),Tariffs!$B$3:$F$16,4,0)/100)+(O8*VLOOKUP(VLOOKUP(MID($B8,4,1),Tariffs!$I$4:$J$17,2,0),Tariffs!$B$3:$F$16,3,0))-(P8*VLOOKUP(VLOOKUP(MID($B8,4,1),Tariffs!$I$4:$J$17,2,0),Tariffs!$B$3:$F$16,5,0))</f>
        <v>-35037.595463753518</v>
      </c>
      <c r="R8" s="118">
        <f t="shared" ca="1" si="5"/>
        <v>353.91510569448292</v>
      </c>
      <c r="AQ8" s="16">
        <f t="shared" ca="1" si="6"/>
        <v>108159</v>
      </c>
      <c r="AR8">
        <f t="shared" ca="1" si="7"/>
        <v>98</v>
      </c>
      <c r="AS8">
        <f t="shared" ca="1" si="8"/>
        <v>990</v>
      </c>
    </row>
    <row r="9" spans="2:45" ht="24.75" customHeight="1" thickBot="1" x14ac:dyDescent="0.3">
      <c r="B9" s="119" t="s">
        <v>35</v>
      </c>
      <c r="C9" s="120"/>
      <c r="D9" s="121"/>
      <c r="E9" s="121"/>
      <c r="F9" s="121"/>
      <c r="G9" s="122">
        <f ca="1">SUM(G6:G8)</f>
        <v>2663411.8809783608</v>
      </c>
      <c r="H9" s="123">
        <f ca="1">SUM(H6:H8)</f>
        <v>2663411.8809783608</v>
      </c>
      <c r="I9" s="124"/>
      <c r="J9" s="125"/>
      <c r="K9" s="126"/>
      <c r="L9" s="127">
        <f ca="1">SUM(L6:L8)</f>
        <v>2598637.8351328815</v>
      </c>
      <c r="M9" s="128">
        <f ca="1">SUM(M6:M8)</f>
        <v>-64774.045845479064</v>
      </c>
      <c r="N9" s="129"/>
      <c r="O9" s="129"/>
      <c r="P9" s="130"/>
      <c r="Q9" s="131">
        <f ca="1">SUM(Q6:Q8)</f>
        <v>2615430.4826792972</v>
      </c>
      <c r="R9" s="132">
        <f ca="1">SUM(R6:R8)</f>
        <v>16792.647546415668</v>
      </c>
    </row>
    <row r="10" spans="2:45" ht="7.5" customHeight="1" x14ac:dyDescent="0.25"/>
  </sheetData>
  <conditionalFormatting sqref="M6:M9">
    <cfRule type="colorScale" priority="3">
      <colorScale>
        <cfvo type="min"/>
        <cfvo type="percentile" val="50"/>
        <cfvo type="max"/>
        <color rgb="FF63BE7B"/>
        <color rgb="FFFCFCFF"/>
        <color rgb="FFF8696B"/>
      </colorScale>
    </cfRule>
  </conditionalFormatting>
  <conditionalFormatting sqref="R6:R9">
    <cfRule type="colorScale" priority="5">
      <colorScale>
        <cfvo type="min"/>
        <cfvo type="percentile" val="50"/>
        <cfvo type="max"/>
        <color rgb="FF63BE7B"/>
        <color rgb="FFFCFCFF"/>
        <color rgb="FFF8696B"/>
      </colorScale>
    </cfRule>
  </conditionalFormatting>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B11D1D-BBC1-4211-8656-0C97703164E0}">
  <sheetPr codeName="Sheet4"/>
  <dimension ref="A1:AS23"/>
  <sheetViews>
    <sheetView showGridLines="0" zoomScaleNormal="100" workbookViewId="0">
      <selection activeCell="N6" activeCellId="2" sqref="D6:F21 I6:K21 N6:P21"/>
    </sheetView>
  </sheetViews>
  <sheetFormatPr defaultColWidth="8.7109375" defaultRowHeight="0" customHeight="1" zeroHeight="1" x14ac:dyDescent="0.25"/>
  <cols>
    <col min="1" max="1" width="1.28515625" customWidth="1"/>
    <col min="2" max="3" width="15.140625" customWidth="1"/>
    <col min="4" max="6" width="12.7109375" customWidth="1"/>
    <col min="7" max="8" width="13.28515625" customWidth="1"/>
    <col min="9" max="11" width="12.7109375" customWidth="1"/>
    <col min="12" max="13" width="13.28515625" customWidth="1"/>
    <col min="14" max="16" width="12.7109375" customWidth="1"/>
    <col min="17" max="18" width="13.7109375" customWidth="1"/>
    <col min="19" max="19" width="1.140625" customWidth="1"/>
  </cols>
  <sheetData>
    <row r="1" spans="2:45" ht="31.5" x14ac:dyDescent="0.5">
      <c r="B1" s="69" t="s">
        <v>8</v>
      </c>
      <c r="C1" s="17"/>
      <c r="I1" s="70"/>
      <c r="J1" s="71"/>
      <c r="K1" s="71"/>
      <c r="L1" s="71"/>
      <c r="M1" s="72"/>
      <c r="N1" s="70"/>
      <c r="O1" s="71"/>
      <c r="P1" s="71"/>
      <c r="Q1" s="71"/>
      <c r="R1" s="72"/>
    </row>
    <row r="2" spans="2:45" ht="15" x14ac:dyDescent="0.25">
      <c r="I2" s="73"/>
      <c r="J2" s="74"/>
      <c r="K2" s="74"/>
      <c r="L2" s="74"/>
      <c r="M2" s="75"/>
      <c r="N2" s="73"/>
      <c r="O2" s="74"/>
      <c r="P2" s="74"/>
      <c r="Q2" s="74"/>
      <c r="R2" s="75"/>
    </row>
    <row r="3" spans="2:45" ht="15.75" thickBot="1" x14ac:dyDescent="0.3">
      <c r="I3" s="76"/>
      <c r="J3" s="77"/>
      <c r="K3" s="77"/>
      <c r="L3" s="77"/>
      <c r="M3" s="78"/>
      <c r="N3" s="76"/>
      <c r="O3" s="77"/>
      <c r="P3" s="77"/>
      <c r="Q3" s="77"/>
      <c r="R3" s="78"/>
    </row>
    <row r="4" spans="2:45" ht="25.5" customHeight="1" thickBot="1" x14ac:dyDescent="0.45">
      <c r="B4" s="59" t="s">
        <v>9</v>
      </c>
      <c r="C4" s="60"/>
      <c r="D4" s="60"/>
      <c r="E4" s="61"/>
      <c r="F4" s="83">
        <v>3</v>
      </c>
      <c r="G4" s="62"/>
      <c r="H4" s="63"/>
      <c r="I4" s="64" t="s">
        <v>10</v>
      </c>
      <c r="J4" s="65"/>
      <c r="K4" s="65"/>
      <c r="L4" s="65"/>
      <c r="M4" s="66"/>
      <c r="N4" s="67" t="s">
        <v>11</v>
      </c>
      <c r="O4" s="68"/>
      <c r="P4" s="68"/>
      <c r="Q4" s="32"/>
      <c r="R4" s="33"/>
    </row>
    <row r="5" spans="2:45" ht="51" customHeight="1" thickBot="1" x14ac:dyDescent="0.3">
      <c r="B5" s="18" t="s">
        <v>12</v>
      </c>
      <c r="C5" s="19" t="s">
        <v>13</v>
      </c>
      <c r="D5" s="88" t="s">
        <v>14</v>
      </c>
      <c r="E5" s="88" t="s">
        <v>15</v>
      </c>
      <c r="F5" s="89" t="s">
        <v>16</v>
      </c>
      <c r="G5" s="20" t="s">
        <v>17</v>
      </c>
      <c r="H5" s="54" t="s">
        <v>18</v>
      </c>
      <c r="I5" s="26" t="s">
        <v>19</v>
      </c>
      <c r="J5" s="26" t="s">
        <v>20</v>
      </c>
      <c r="K5" s="26" t="s">
        <v>21</v>
      </c>
      <c r="L5" s="28" t="s">
        <v>22</v>
      </c>
      <c r="M5" s="27" t="s">
        <v>23</v>
      </c>
      <c r="N5" s="29" t="s">
        <v>24</v>
      </c>
      <c r="O5" s="29" t="s">
        <v>25</v>
      </c>
      <c r="P5" s="29" t="s">
        <v>26</v>
      </c>
      <c r="Q5" s="31" t="s">
        <v>27</v>
      </c>
      <c r="R5" s="30" t="s">
        <v>28</v>
      </c>
    </row>
    <row r="6" spans="2:45" ht="20.25" customHeight="1" thickTop="1" thickBot="1" x14ac:dyDescent="0.3">
      <c r="B6" s="21" t="s">
        <v>29</v>
      </c>
      <c r="C6" s="84" t="s">
        <v>30</v>
      </c>
      <c r="D6" s="91">
        <f ca="1">AQ6*1.5</f>
        <v>172369.5</v>
      </c>
      <c r="E6" s="92">
        <f ca="1">D6*RANDBETWEEN(5,10)/100</f>
        <v>17236.95</v>
      </c>
      <c r="F6" s="92">
        <f ca="1">E6*$F$4</f>
        <v>51710.850000000006</v>
      </c>
      <c r="G6" s="87">
        <f ca="1">(D6*VLOOKUP(VLOOKUP(MID($B6,4,1),Tariffs!$I$4:$J$17,2,0),Tariffs!$B$3:$F$16,4,0)/100)+(E6*VLOOKUP(VLOOKUP(MID($B6,4,1),Tariffs!$I$4:$J$17,2,0),Tariffs!$B$3:$F$16,3,0))-(F6*VLOOKUP(VLOOKUP(MID($B6,4,1),Tariffs!$I$4:$J$17,2,0),Tariffs!$B$3:$F$16,5,0))</f>
        <v>-113102.69851928996</v>
      </c>
      <c r="H6" s="55">
        <f ca="1">IF((E6*VLOOKUP(VLOOKUP(MID($B6,4,1),Tariffs!$I$4:$J$17,2,0),Tariffs!$B$3:$F$16,3,0))-(F6*VLOOKUP(VLOOKUP(MID($B6,4,1),Tariffs!$I$4:$J$17,2,0),Tariffs!$B$3:$F$16,5,0))&lt;0,D6*VLOOKUP(VLOOKUP(MID($B6,4,1),Tariffs!$I$4:$J$17,2,0),Tariffs!$B$3:$F$16,4,0)/100,G6)</f>
        <v>12922.00362216</v>
      </c>
      <c r="I6" s="91">
        <f ca="1">D6*$AR6/100</f>
        <v>180987.97500000001</v>
      </c>
      <c r="J6" s="92">
        <f t="shared" ref="J6:K6" ca="1" si="0">E6*$AR6/100</f>
        <v>18098.797500000001</v>
      </c>
      <c r="K6" s="92">
        <f t="shared" ca="1" si="0"/>
        <v>54296.392500000009</v>
      </c>
      <c r="L6" s="57">
        <f ca="1">(I6*VLOOKUP(VLOOKUP(MID($B6,4,1),Tariffs!$I$4:$J$17,2,0),Tariffs!$B$3:$F$16,4,0)/100)+(J6*VLOOKUP(VLOOKUP(MID($B6,4,1),Tariffs!$I$4:$J$17,2,0),Tariffs!$B$3:$F$16,3,0))-(K6*VLOOKUP(VLOOKUP(MID($B6,4,1),Tariffs!$I$4:$J$17,2,0),Tariffs!$B$3:$F$16,5,0))</f>
        <v>-118757.83344525448</v>
      </c>
      <c r="M6" s="37">
        <f ca="1">L6-H6</f>
        <v>-131679.83706741448</v>
      </c>
      <c r="N6" s="91">
        <f ca="1">I6*$AS6/1000</f>
        <v>181168.962975</v>
      </c>
      <c r="O6" s="92">
        <f t="shared" ref="O6:P6" ca="1" si="1">J6*$AS6/1000</f>
        <v>18116.896297499999</v>
      </c>
      <c r="P6" s="92">
        <f t="shared" ca="1" si="1"/>
        <v>54350.688892500002</v>
      </c>
      <c r="Q6" s="58">
        <f ca="1">(N6*VLOOKUP(VLOOKUP(MID($B6,4,1),Tariffs!$I$4:$J$17,2,0),Tariffs!$B$3:$F$16,4,0)/100)+(O6*VLOOKUP(VLOOKUP(MID($B6,4,1),Tariffs!$I$4:$J$17,2,0),Tariffs!$B$3:$F$16,3,0))-(P6*VLOOKUP(VLOOKUP(MID($B6,4,1),Tariffs!$I$4:$J$17,2,0),Tariffs!$B$3:$F$16,5,0))</f>
        <v>-118876.59127869981</v>
      </c>
      <c r="R6" s="47">
        <f ca="1">Q6-L6</f>
        <v>-118.75783344532829</v>
      </c>
      <c r="AQ6" s="16">
        <f ca="1">RANDBETWEEN(70000,130000)</f>
        <v>114913</v>
      </c>
      <c r="AR6">
        <f ca="1">RANDBETWEEN(95,105)</f>
        <v>105</v>
      </c>
      <c r="AS6">
        <f ca="1">RANDBETWEEN(990,1010)</f>
        <v>1001</v>
      </c>
    </row>
    <row r="7" spans="2:45" ht="20.25" customHeight="1" thickBot="1" x14ac:dyDescent="0.3">
      <c r="B7" s="22" t="s">
        <v>36</v>
      </c>
      <c r="C7" s="85" t="s">
        <v>30</v>
      </c>
      <c r="D7" s="91">
        <f t="shared" ref="D7:D19" ca="1" si="2">AQ7*1.5</f>
        <v>153726</v>
      </c>
      <c r="E7" s="92">
        <f t="shared" ref="E7:E19" ca="1" si="3">D7*RANDBETWEEN(5,10)/100</f>
        <v>9223.56</v>
      </c>
      <c r="F7" s="92">
        <f t="shared" ref="F7:F19" ca="1" si="4">E7*$F$4</f>
        <v>27670.68</v>
      </c>
      <c r="G7" s="87">
        <f ca="1">(D7*VLOOKUP(VLOOKUP(MID($B7,4,1),Tariffs!$I$4:$J$17,2,0),Tariffs!$B$3:$F$16,4,0)/100)+(E7*VLOOKUP(VLOOKUP(MID($B7,4,1),Tariffs!$I$4:$J$17,2,0),Tariffs!$B$3:$F$16,3,0))-(F7*VLOOKUP(VLOOKUP(MID($B7,4,1),Tariffs!$I$4:$J$17,2,0),Tariffs!$B$3:$F$16,5,0))</f>
        <v>-13753.288747499988</v>
      </c>
      <c r="H7" s="44">
        <f ca="1">IF((E7*VLOOKUP(VLOOKUP(MID($B7,4,1),Tariffs!$I$4:$J$17,2,0),Tariffs!$B$3:$F$16,3,0))-(F7*VLOOKUP(VLOOKUP(MID($B7,4,1),Tariffs!$I$4:$J$17,2,0),Tariffs!$B$3:$F$16,5,0))&lt;0,D7*VLOOKUP(VLOOKUP(MID($B7,4,1),Tariffs!$I$4:$J$17,2,0),Tariffs!$B$3:$F$16,4,0)/100,G7)</f>
        <v>10358.914133820001</v>
      </c>
      <c r="I7" s="91">
        <f t="shared" ref="I7:I21" ca="1" si="5">D7*$AR7/100</f>
        <v>147576.95999999999</v>
      </c>
      <c r="J7" s="92">
        <f t="shared" ref="J7:J21" ca="1" si="6">E7*$AR7/100</f>
        <v>8854.6175999999996</v>
      </c>
      <c r="K7" s="92">
        <f t="shared" ref="K7:K20" ca="1" si="7">F7*$AR7/100</f>
        <v>26563.852800000004</v>
      </c>
      <c r="L7" s="41">
        <f ca="1">(I7*VLOOKUP(VLOOKUP(MID($B7,4,1),Tariffs!$I$4:$J$17,2,0),Tariffs!$B$3:$F$16,4,0)/100)+(J7*VLOOKUP(VLOOKUP(MID($B7,4,1),Tariffs!$I$4:$J$17,2,0),Tariffs!$B$3:$F$16,3,0))-(K7*VLOOKUP(VLOOKUP(MID($B7,4,1),Tariffs!$I$4:$J$17,2,0),Tariffs!$B$3:$F$16,5,0))</f>
        <v>-13203.157197600056</v>
      </c>
      <c r="M7" s="38">
        <f t="shared" ref="M7:M21" ca="1" si="8">L7-H7</f>
        <v>-23562.071331420055</v>
      </c>
      <c r="N7" s="91">
        <f t="shared" ref="N7:N21" ca="1" si="9">I7*$AS7/1000</f>
        <v>148167.26784000001</v>
      </c>
      <c r="O7" s="92">
        <f t="shared" ref="O7:O21" ca="1" si="10">J7*$AS7/1000</f>
        <v>8890.0360703999995</v>
      </c>
      <c r="P7" s="92">
        <f t="shared" ref="P7:P21" ca="1" si="11">K7*$AS7/1000</f>
        <v>26670.108211200004</v>
      </c>
      <c r="Q7" s="51">
        <f ca="1">(N7*VLOOKUP(VLOOKUP(MID($B7,4,1),Tariffs!$I$4:$J$17,2,0),Tariffs!$B$3:$F$16,4,0)/100)+(O7*VLOOKUP(VLOOKUP(MID($B7,4,1),Tariffs!$I$4:$J$17,2,0),Tariffs!$B$3:$F$16,3,0))-(P7*VLOOKUP(VLOOKUP(MID($B7,4,1),Tariffs!$I$4:$J$17,2,0),Tariffs!$B$3:$F$16,5,0))</f>
        <v>-13255.969826390443</v>
      </c>
      <c r="R7" s="48">
        <f t="shared" ref="R7:R21" ca="1" si="12">Q7-L7</f>
        <v>-52.812628790386952</v>
      </c>
      <c r="AQ7" s="16">
        <f t="shared" ref="AQ7:AQ21" ca="1" si="13">RANDBETWEEN(70000,130000)</f>
        <v>102484</v>
      </c>
      <c r="AR7">
        <f t="shared" ref="AR7:AR21" ca="1" si="14">RANDBETWEEN(95,105)</f>
        <v>96</v>
      </c>
      <c r="AS7">
        <f t="shared" ref="AS7:AS21" ca="1" si="15">RANDBETWEEN(990,1010)</f>
        <v>1004</v>
      </c>
    </row>
    <row r="8" spans="2:45" ht="20.25" customHeight="1" thickBot="1" x14ac:dyDescent="0.3">
      <c r="B8" s="22" t="s">
        <v>37</v>
      </c>
      <c r="C8" s="85" t="s">
        <v>30</v>
      </c>
      <c r="D8" s="91">
        <f t="shared" ca="1" si="2"/>
        <v>181876.5</v>
      </c>
      <c r="E8" s="92">
        <f t="shared" ca="1" si="3"/>
        <v>18187.650000000001</v>
      </c>
      <c r="F8" s="92">
        <f t="shared" ca="1" si="4"/>
        <v>54562.950000000004</v>
      </c>
      <c r="G8" s="87">
        <f ca="1">(D8*VLOOKUP(VLOOKUP(MID($B8,4,1),Tariffs!$I$4:$J$17,2,0),Tariffs!$B$3:$F$16,4,0)/100)+(E8*VLOOKUP(VLOOKUP(MID($B8,4,1),Tariffs!$I$4:$J$17,2,0),Tariffs!$B$3:$F$16,3,0))-(F8*VLOOKUP(VLOOKUP(MID($B8,4,1),Tariffs!$I$4:$J$17,2,0),Tariffs!$B$3:$F$16,5,0))</f>
        <v>-317503.50477651018</v>
      </c>
      <c r="H8" s="44">
        <f ca="1">IF((E8*VLOOKUP(VLOOKUP(MID($B8,4,1),Tariffs!$I$4:$J$17,2,0),Tariffs!$B$3:$F$16,3,0))-(F8*VLOOKUP(VLOOKUP(MID($B8,4,1),Tariffs!$I$4:$J$17,2,0),Tariffs!$B$3:$F$16,5,0))&lt;0,D8*VLOOKUP(VLOOKUP(MID($B8,4,1),Tariffs!$I$4:$J$17,2,0),Tariffs!$B$3:$F$16,4,0)/100,G8)</f>
        <v>11442.570845939999</v>
      </c>
      <c r="I8" s="91">
        <f t="shared" ca="1" si="5"/>
        <v>183695.26500000001</v>
      </c>
      <c r="J8" s="92">
        <f t="shared" ca="1" si="6"/>
        <v>18369.5265</v>
      </c>
      <c r="K8" s="92">
        <f t="shared" ca="1" si="7"/>
        <v>55108.5795</v>
      </c>
      <c r="L8" s="41">
        <f ca="1">(I8*VLOOKUP(VLOOKUP(MID($B8,4,1),Tariffs!$I$4:$J$17,2,0),Tariffs!$B$3:$F$16,4,0)/100)+(J8*VLOOKUP(VLOOKUP(MID($B8,4,1),Tariffs!$I$4:$J$17,2,0),Tariffs!$B$3:$F$16,3,0))-(K8*VLOOKUP(VLOOKUP(MID($B8,4,1),Tariffs!$I$4:$J$17,2,0),Tariffs!$B$3:$F$16,5,0))</f>
        <v>-320678.5398242753</v>
      </c>
      <c r="M8" s="38">
        <f t="shared" ca="1" si="8"/>
        <v>-332121.11067021528</v>
      </c>
      <c r="N8" s="91">
        <f t="shared" ca="1" si="9"/>
        <v>182409.39814500001</v>
      </c>
      <c r="O8" s="92">
        <f t="shared" ca="1" si="10"/>
        <v>18240.939814500001</v>
      </c>
      <c r="P8" s="92">
        <f t="shared" ca="1" si="11"/>
        <v>54722.819443499997</v>
      </c>
      <c r="Q8" s="51">
        <f ca="1">(N8*VLOOKUP(VLOOKUP(MID($B8,4,1),Tariffs!$I$4:$J$17,2,0),Tariffs!$B$3:$F$16,4,0)/100)+(O8*VLOOKUP(VLOOKUP(MID($B8,4,1),Tariffs!$I$4:$J$17,2,0),Tariffs!$B$3:$F$16,3,0))-(P8*VLOOKUP(VLOOKUP(MID($B8,4,1),Tariffs!$I$4:$J$17,2,0),Tariffs!$B$3:$F$16,5,0))</f>
        <v>-318433.79004550539</v>
      </c>
      <c r="R8" s="48">
        <f t="shared" ca="1" si="12"/>
        <v>2244.7497787699103</v>
      </c>
      <c r="AQ8" s="16">
        <f t="shared" ca="1" si="13"/>
        <v>121251</v>
      </c>
      <c r="AR8">
        <f t="shared" ca="1" si="14"/>
        <v>101</v>
      </c>
      <c r="AS8">
        <f t="shared" ca="1" si="15"/>
        <v>993</v>
      </c>
    </row>
    <row r="9" spans="2:45" ht="20.25" customHeight="1" thickBot="1" x14ac:dyDescent="0.3">
      <c r="B9" s="22" t="s">
        <v>38</v>
      </c>
      <c r="C9" s="85" t="s">
        <v>30</v>
      </c>
      <c r="D9" s="91">
        <f t="shared" ca="1" si="2"/>
        <v>160449</v>
      </c>
      <c r="E9" s="92">
        <f t="shared" ca="1" si="3"/>
        <v>8022.45</v>
      </c>
      <c r="F9" s="92">
        <f t="shared" ca="1" si="4"/>
        <v>24067.35</v>
      </c>
      <c r="G9" s="87">
        <f ca="1">(D9*VLOOKUP(VLOOKUP(MID($B9,4,1),Tariffs!$I$4:$J$17,2,0),Tariffs!$B$3:$F$16,4,0)/100)+(E9*VLOOKUP(VLOOKUP(MID($B9,4,1),Tariffs!$I$4:$J$17,2,0),Tariffs!$B$3:$F$16,3,0))-(F9*VLOOKUP(VLOOKUP(MID($B9,4,1),Tariffs!$I$4:$J$17,2,0),Tariffs!$B$3:$F$16,5,0))</f>
        <v>22618.166609550011</v>
      </c>
      <c r="H9" s="44">
        <f ca="1">IF((E9*VLOOKUP(VLOOKUP(MID($B9,4,1),Tariffs!$I$4:$J$17,2,0),Tariffs!$B$3:$F$16,3,0))-(F9*VLOOKUP(VLOOKUP(MID($B9,4,1),Tariffs!$I$4:$J$17,2,0),Tariffs!$B$3:$F$16,5,0))&lt;0,D9*VLOOKUP(VLOOKUP(MID($B9,4,1),Tariffs!$I$4:$J$17,2,0),Tariffs!$B$3:$F$16,4,0)/100,G9)</f>
        <v>22618.166609550011</v>
      </c>
      <c r="I9" s="91">
        <f t="shared" ca="1" si="5"/>
        <v>166866.96</v>
      </c>
      <c r="J9" s="92">
        <f t="shared" ca="1" si="6"/>
        <v>8343.348</v>
      </c>
      <c r="K9" s="92">
        <f t="shared" ca="1" si="7"/>
        <v>25030.043999999998</v>
      </c>
      <c r="L9" s="41">
        <f ca="1">(I9*VLOOKUP(VLOOKUP(MID($B9,4,1),Tariffs!$I$4:$J$17,2,0),Tariffs!$B$3:$F$16,4,0)/100)+(J9*VLOOKUP(VLOOKUP(MID($B9,4,1),Tariffs!$I$4:$J$17,2,0),Tariffs!$B$3:$F$16,3,0))-(K9*VLOOKUP(VLOOKUP(MID($B9,4,1),Tariffs!$I$4:$J$17,2,0),Tariffs!$B$3:$F$16,5,0))</f>
        <v>23522.893273932044</v>
      </c>
      <c r="M9" s="38">
        <f t="shared" ca="1" si="8"/>
        <v>904.72666438203305</v>
      </c>
      <c r="N9" s="91">
        <f t="shared" ca="1" si="9"/>
        <v>165865.75823999997</v>
      </c>
      <c r="O9" s="92">
        <f t="shared" ca="1" si="10"/>
        <v>8293.2879119999998</v>
      </c>
      <c r="P9" s="92">
        <f t="shared" ca="1" si="11"/>
        <v>24879.863735999999</v>
      </c>
      <c r="Q9" s="51">
        <f ca="1">(N9*VLOOKUP(VLOOKUP(MID($B9,4,1),Tariffs!$I$4:$J$17,2,0),Tariffs!$B$3:$F$16,4,0)/100)+(O9*VLOOKUP(VLOOKUP(MID($B9,4,1),Tariffs!$I$4:$J$17,2,0),Tariffs!$B$3:$F$16,3,0))-(P9*VLOOKUP(VLOOKUP(MID($B9,4,1),Tariffs!$I$4:$J$17,2,0),Tariffs!$B$3:$F$16,5,0))</f>
        <v>23381.755914288398</v>
      </c>
      <c r="R9" s="48">
        <f t="shared" ca="1" si="12"/>
        <v>-141.13735964364605</v>
      </c>
      <c r="AQ9" s="16">
        <f t="shared" ca="1" si="13"/>
        <v>106966</v>
      </c>
      <c r="AR9">
        <f t="shared" ca="1" si="14"/>
        <v>104</v>
      </c>
      <c r="AS9">
        <f t="shared" ca="1" si="15"/>
        <v>994</v>
      </c>
    </row>
    <row r="10" spans="2:45" ht="20.25" customHeight="1" thickBot="1" x14ac:dyDescent="0.3">
      <c r="B10" s="22" t="s">
        <v>39</v>
      </c>
      <c r="C10" s="85" t="s">
        <v>30</v>
      </c>
      <c r="D10" s="91">
        <f t="shared" ca="1" si="2"/>
        <v>185746.5</v>
      </c>
      <c r="E10" s="92">
        <f t="shared" ca="1" si="3"/>
        <v>13002.254999999999</v>
      </c>
      <c r="F10" s="92">
        <f t="shared" ca="1" si="4"/>
        <v>39006.764999999999</v>
      </c>
      <c r="G10" s="87">
        <f ca="1">(D10*VLOOKUP(VLOOKUP(MID($B10,4,1),Tariffs!$I$4:$J$17,2,0),Tariffs!$B$3:$F$16,4,0)/100)+(E10*VLOOKUP(VLOOKUP(MID($B10,4,1),Tariffs!$I$4:$J$17,2,0),Tariffs!$B$3:$F$16,3,0))-(F10*VLOOKUP(VLOOKUP(MID($B10,4,1),Tariffs!$I$4:$J$17,2,0),Tariffs!$B$3:$F$16,5,0))</f>
        <v>-59732.565648615011</v>
      </c>
      <c r="H10" s="44">
        <f ca="1">IF((E10*VLOOKUP(VLOOKUP(MID($B10,4,1),Tariffs!$I$4:$J$17,2,0),Tariffs!$B$3:$F$16,3,0))-(F10*VLOOKUP(VLOOKUP(MID($B10,4,1),Tariffs!$I$4:$J$17,2,0),Tariffs!$B$3:$F$16,5,0))&lt;0,D10*VLOOKUP(VLOOKUP(MID($B10,4,1),Tariffs!$I$4:$J$17,2,0),Tariffs!$B$3:$F$16,4,0)/100,G10)</f>
        <v>12960.337587345</v>
      </c>
      <c r="I10" s="91">
        <f t="shared" ca="1" si="5"/>
        <v>180174.10500000001</v>
      </c>
      <c r="J10" s="92">
        <f t="shared" ca="1" si="6"/>
        <v>12612.187349999998</v>
      </c>
      <c r="K10" s="92">
        <f t="shared" ca="1" si="7"/>
        <v>37836.56205</v>
      </c>
      <c r="L10" s="41">
        <f ca="1">(I10*VLOOKUP(VLOOKUP(MID($B10,4,1),Tariffs!$I$4:$J$17,2,0),Tariffs!$B$3:$F$16,4,0)/100)+(J10*VLOOKUP(VLOOKUP(MID($B10,4,1),Tariffs!$I$4:$J$17,2,0),Tariffs!$B$3:$F$16,3,0))-(K10*VLOOKUP(VLOOKUP(MID($B10,4,1),Tariffs!$I$4:$J$17,2,0),Tariffs!$B$3:$F$16,5,0))</f>
        <v>-57940.588679156615</v>
      </c>
      <c r="M10" s="38">
        <f t="shared" ca="1" si="8"/>
        <v>-70900.926266501614</v>
      </c>
      <c r="N10" s="91">
        <f t="shared" ca="1" si="9"/>
        <v>180354.27910500002</v>
      </c>
      <c r="O10" s="92">
        <f t="shared" ca="1" si="10"/>
        <v>12624.79953735</v>
      </c>
      <c r="P10" s="92">
        <f t="shared" ca="1" si="11"/>
        <v>37874.398612049998</v>
      </c>
      <c r="Q10" s="51">
        <f ca="1">(N10*VLOOKUP(VLOOKUP(MID($B10,4,1),Tariffs!$I$4:$J$17,2,0),Tariffs!$B$3:$F$16,4,0)/100)+(O10*VLOOKUP(VLOOKUP(MID($B10,4,1),Tariffs!$I$4:$J$17,2,0),Tariffs!$B$3:$F$16,3,0))-(P10*VLOOKUP(VLOOKUP(MID($B10,4,1),Tariffs!$I$4:$J$17,2,0),Tariffs!$B$3:$F$16,5,0))</f>
        <v>-57998.529267835664</v>
      </c>
      <c r="R10" s="48">
        <f t="shared" ca="1" si="12"/>
        <v>-57.940588679048233</v>
      </c>
      <c r="AQ10" s="16">
        <f t="shared" ca="1" si="13"/>
        <v>123831</v>
      </c>
      <c r="AR10">
        <f t="shared" ca="1" si="14"/>
        <v>97</v>
      </c>
      <c r="AS10">
        <f t="shared" ca="1" si="15"/>
        <v>1001</v>
      </c>
    </row>
    <row r="11" spans="2:45" ht="20.25" customHeight="1" thickBot="1" x14ac:dyDescent="0.3">
      <c r="B11" s="22" t="s">
        <v>40</v>
      </c>
      <c r="C11" s="85" t="s">
        <v>30</v>
      </c>
      <c r="D11" s="91">
        <f t="shared" ca="1" si="2"/>
        <v>141313.5</v>
      </c>
      <c r="E11" s="92">
        <f t="shared" ca="1" si="3"/>
        <v>11305.08</v>
      </c>
      <c r="F11" s="92">
        <f t="shared" ca="1" si="4"/>
        <v>33915.24</v>
      </c>
      <c r="G11" s="87">
        <f ca="1">(D11*VLOOKUP(VLOOKUP(MID($B11,4,1),Tariffs!$I$4:$J$17,2,0),Tariffs!$B$3:$F$16,4,0)/100)+(E11*VLOOKUP(VLOOKUP(MID($B11,4,1),Tariffs!$I$4:$J$17,2,0),Tariffs!$B$3:$F$16,3,0))-(F11*VLOOKUP(VLOOKUP(MID($B11,4,1),Tariffs!$I$4:$J$17,2,0),Tariffs!$B$3:$F$16,5,0))</f>
        <v>213255.70683961501</v>
      </c>
      <c r="H11" s="44">
        <f ca="1">IF((E11*VLOOKUP(VLOOKUP(MID($B11,4,1),Tariffs!$I$4:$J$17,2,0),Tariffs!$B$3:$F$16,3,0))-(F11*VLOOKUP(VLOOKUP(MID($B11,4,1),Tariffs!$I$4:$J$17,2,0),Tariffs!$B$3:$F$16,5,0))&lt;0,D11*VLOOKUP(VLOOKUP(MID($B11,4,1),Tariffs!$I$4:$J$17,2,0),Tariffs!$B$3:$F$16,4,0)/100,G11)</f>
        <v>213255.70683961501</v>
      </c>
      <c r="I11" s="91">
        <f t="shared" ca="1" si="5"/>
        <v>134247.82500000001</v>
      </c>
      <c r="J11" s="92">
        <f t="shared" ca="1" si="6"/>
        <v>10739.826000000001</v>
      </c>
      <c r="K11" s="92">
        <f t="shared" ca="1" si="7"/>
        <v>32219.477999999999</v>
      </c>
      <c r="L11" s="41">
        <f ca="1">(I11*VLOOKUP(VLOOKUP(MID($B11,4,1),Tariffs!$I$4:$J$17,2,0),Tariffs!$B$3:$F$16,4,0)/100)+(J11*VLOOKUP(VLOOKUP(MID($B11,4,1),Tariffs!$I$4:$J$17,2,0),Tariffs!$B$3:$F$16,3,0))-(K11*VLOOKUP(VLOOKUP(MID($B11,4,1),Tariffs!$I$4:$J$17,2,0),Tariffs!$B$3:$F$16,5,0))</f>
        <v>202592.92149763429</v>
      </c>
      <c r="M11" s="38">
        <f t="shared" ca="1" si="8"/>
        <v>-10662.785341980722</v>
      </c>
      <c r="N11" s="91">
        <f t="shared" ca="1" si="9"/>
        <v>133308.09022500002</v>
      </c>
      <c r="O11" s="92">
        <f t="shared" ca="1" si="10"/>
        <v>10664.647218</v>
      </c>
      <c r="P11" s="92">
        <f t="shared" ca="1" si="11"/>
        <v>31993.941653999998</v>
      </c>
      <c r="Q11" s="51">
        <f ca="1">(N11*VLOOKUP(VLOOKUP(MID($B11,4,1),Tariffs!$I$4:$J$17,2,0),Tariffs!$B$3:$F$16,4,0)/100)+(O11*VLOOKUP(VLOOKUP(MID($B11,4,1),Tariffs!$I$4:$J$17,2,0),Tariffs!$B$3:$F$16,3,0))-(P11*VLOOKUP(VLOOKUP(MID($B11,4,1),Tariffs!$I$4:$J$17,2,0),Tariffs!$B$3:$F$16,5,0))</f>
        <v>201174.77104715075</v>
      </c>
      <c r="R11" s="48">
        <f t="shared" ca="1" si="12"/>
        <v>-1418.1504504835466</v>
      </c>
      <c r="AQ11" s="16">
        <f t="shared" ca="1" si="13"/>
        <v>94209</v>
      </c>
      <c r="AR11">
        <f t="shared" ca="1" si="14"/>
        <v>95</v>
      </c>
      <c r="AS11">
        <f t="shared" ca="1" si="15"/>
        <v>993</v>
      </c>
    </row>
    <row r="12" spans="2:45" ht="20.25" customHeight="1" thickBot="1" x14ac:dyDescent="0.3">
      <c r="B12" s="22" t="s">
        <v>41</v>
      </c>
      <c r="C12" s="85" t="s">
        <v>30</v>
      </c>
      <c r="D12" s="91">
        <f t="shared" ca="1" si="2"/>
        <v>131454</v>
      </c>
      <c r="E12" s="92">
        <f t="shared" ca="1" si="3"/>
        <v>10516.32</v>
      </c>
      <c r="F12" s="92">
        <f t="shared" ca="1" si="4"/>
        <v>31548.959999999999</v>
      </c>
      <c r="G12" s="87">
        <f ca="1">(D12*VLOOKUP(VLOOKUP(MID($B12,4,1),Tariffs!$I$4:$J$17,2,0),Tariffs!$B$3:$F$16,4,0)/100)+(E12*VLOOKUP(VLOOKUP(MID($B12,4,1),Tariffs!$I$4:$J$17,2,0),Tariffs!$B$3:$F$16,3,0))-(F12*VLOOKUP(VLOOKUP(MID($B12,4,1),Tariffs!$I$4:$J$17,2,0),Tariffs!$B$3:$F$16,5,0))</f>
        <v>56551.147986959957</v>
      </c>
      <c r="H12" s="44">
        <f ca="1">IF((E12*VLOOKUP(VLOOKUP(MID($B12,4,1),Tariffs!$I$4:$J$17,2,0),Tariffs!$B$3:$F$16,3,0))-(F12*VLOOKUP(VLOOKUP(MID($B12,4,1),Tariffs!$I$4:$J$17,2,0),Tariffs!$B$3:$F$16,5,0))&lt;0,D12*VLOOKUP(VLOOKUP(MID($B12,4,1),Tariffs!$I$4:$J$17,2,0),Tariffs!$B$3:$F$16,4,0)/100,G12)</f>
        <v>56551.147986959957</v>
      </c>
      <c r="I12" s="91">
        <f t="shared" ca="1" si="5"/>
        <v>126195.84</v>
      </c>
      <c r="J12" s="92">
        <f t="shared" ca="1" si="6"/>
        <v>10095.6672</v>
      </c>
      <c r="K12" s="92">
        <f t="shared" ca="1" si="7"/>
        <v>30287.001600000003</v>
      </c>
      <c r="L12" s="41">
        <f ca="1">(I12*VLOOKUP(VLOOKUP(MID($B12,4,1),Tariffs!$I$4:$J$17,2,0),Tariffs!$B$3:$F$16,4,0)/100)+(J12*VLOOKUP(VLOOKUP(MID($B12,4,1),Tariffs!$I$4:$J$17,2,0),Tariffs!$B$3:$F$16,3,0))-(K12*VLOOKUP(VLOOKUP(MID($B12,4,1),Tariffs!$I$4:$J$17,2,0),Tariffs!$B$3:$F$16,5,0))</f>
        <v>54289.102067481494</v>
      </c>
      <c r="M12" s="38">
        <f t="shared" ca="1" si="8"/>
        <v>-2262.0459194784635</v>
      </c>
      <c r="N12" s="91">
        <f t="shared" ca="1" si="9"/>
        <v>124933.88159999999</v>
      </c>
      <c r="O12" s="92">
        <f t="shared" ca="1" si="10"/>
        <v>9994.7105279999996</v>
      </c>
      <c r="P12" s="92">
        <f t="shared" ca="1" si="11"/>
        <v>29984.131584000002</v>
      </c>
      <c r="Q12" s="51">
        <f ca="1">(N12*VLOOKUP(VLOOKUP(MID($B12,4,1),Tariffs!$I$4:$J$17,2,0),Tariffs!$B$3:$F$16,4,0)/100)+(O12*VLOOKUP(VLOOKUP(MID($B12,4,1),Tariffs!$I$4:$J$17,2,0),Tariffs!$B$3:$F$16,3,0))-(P12*VLOOKUP(VLOOKUP(MID($B12,4,1),Tariffs!$I$4:$J$17,2,0),Tariffs!$B$3:$F$16,5,0))</f>
        <v>53746.211046806711</v>
      </c>
      <c r="R12" s="48">
        <f t="shared" ca="1" si="12"/>
        <v>-542.89102067478234</v>
      </c>
      <c r="AQ12" s="16">
        <f t="shared" ca="1" si="13"/>
        <v>87636</v>
      </c>
      <c r="AR12">
        <f t="shared" ca="1" si="14"/>
        <v>96</v>
      </c>
      <c r="AS12">
        <f t="shared" ca="1" si="15"/>
        <v>990</v>
      </c>
    </row>
    <row r="13" spans="2:45" ht="20.25" customHeight="1" thickBot="1" x14ac:dyDescent="0.3">
      <c r="B13" s="22" t="s">
        <v>42</v>
      </c>
      <c r="C13" s="85" t="s">
        <v>30</v>
      </c>
      <c r="D13" s="91">
        <f t="shared" ca="1" si="2"/>
        <v>182247</v>
      </c>
      <c r="E13" s="92">
        <f t="shared" ca="1" si="3"/>
        <v>14579.76</v>
      </c>
      <c r="F13" s="92">
        <f t="shared" ca="1" si="4"/>
        <v>43739.28</v>
      </c>
      <c r="G13" s="87">
        <f ca="1">(D13*VLOOKUP(VLOOKUP(MID($B13,4,1),Tariffs!$I$4:$J$17,2,0),Tariffs!$B$3:$F$16,4,0)/100)+(E13*VLOOKUP(VLOOKUP(MID($B13,4,1),Tariffs!$I$4:$J$17,2,0),Tariffs!$B$3:$F$16,3,0))-(F13*VLOOKUP(VLOOKUP(MID($B13,4,1),Tariffs!$I$4:$J$17,2,0),Tariffs!$B$3:$F$16,5,0))</f>
        <v>-196301.39475063002</v>
      </c>
      <c r="H13" s="44">
        <f ca="1">IF((E13*VLOOKUP(VLOOKUP(MID($B13,4,1),Tariffs!$I$4:$J$17,2,0),Tariffs!$B$3:$F$16,3,0))-(F13*VLOOKUP(VLOOKUP(MID($B13,4,1),Tariffs!$I$4:$J$17,2,0),Tariffs!$B$3:$F$16,5,0))&lt;0,D13*VLOOKUP(VLOOKUP(MID($B13,4,1),Tariffs!$I$4:$J$17,2,0),Tariffs!$B$3:$F$16,4,0)/100,G13)</f>
        <v>13825.29933681</v>
      </c>
      <c r="I13" s="91">
        <f t="shared" ca="1" si="5"/>
        <v>185891.94</v>
      </c>
      <c r="J13" s="92">
        <f t="shared" ca="1" si="6"/>
        <v>14871.3552</v>
      </c>
      <c r="K13" s="92">
        <f t="shared" ca="1" si="7"/>
        <v>44614.065599999994</v>
      </c>
      <c r="L13" s="41">
        <f ca="1">(I13*VLOOKUP(VLOOKUP(MID($B13,4,1),Tariffs!$I$4:$J$17,2,0),Tariffs!$B$3:$F$16,4,0)/100)+(J13*VLOOKUP(VLOOKUP(MID($B13,4,1),Tariffs!$I$4:$J$17,2,0),Tariffs!$B$3:$F$16,3,0))-(K13*VLOOKUP(VLOOKUP(MID($B13,4,1),Tariffs!$I$4:$J$17,2,0),Tariffs!$B$3:$F$16,5,0))</f>
        <v>-200227.42264564265</v>
      </c>
      <c r="M13" s="38">
        <f t="shared" ca="1" si="8"/>
        <v>-214052.72198245267</v>
      </c>
      <c r="N13" s="91">
        <f t="shared" ca="1" si="9"/>
        <v>184218.91253999999</v>
      </c>
      <c r="O13" s="92">
        <f t="shared" ca="1" si="10"/>
        <v>14737.5130032</v>
      </c>
      <c r="P13" s="92">
        <f t="shared" ca="1" si="11"/>
        <v>44212.53900959999</v>
      </c>
      <c r="Q13" s="51">
        <f ca="1">(N13*VLOOKUP(VLOOKUP(MID($B13,4,1),Tariffs!$I$4:$J$17,2,0),Tariffs!$B$3:$F$16,4,0)/100)+(O13*VLOOKUP(VLOOKUP(MID($B13,4,1),Tariffs!$I$4:$J$17,2,0),Tariffs!$B$3:$F$16,3,0))-(P13*VLOOKUP(VLOOKUP(MID($B13,4,1),Tariffs!$I$4:$J$17,2,0),Tariffs!$B$3:$F$16,5,0))</f>
        <v>-198425.37584183167</v>
      </c>
      <c r="R13" s="48">
        <f t="shared" ca="1" si="12"/>
        <v>1802.046803810983</v>
      </c>
      <c r="AQ13" s="16">
        <f t="shared" ca="1" si="13"/>
        <v>121498</v>
      </c>
      <c r="AR13">
        <f t="shared" ca="1" si="14"/>
        <v>102</v>
      </c>
      <c r="AS13">
        <f t="shared" ca="1" si="15"/>
        <v>991</v>
      </c>
    </row>
    <row r="14" spans="2:45" ht="20.25" customHeight="1" thickBot="1" x14ac:dyDescent="0.3">
      <c r="B14" s="22" t="s">
        <v>43</v>
      </c>
      <c r="C14" s="85" t="s">
        <v>30</v>
      </c>
      <c r="D14" s="91">
        <f t="shared" ca="1" si="2"/>
        <v>190057.5</v>
      </c>
      <c r="E14" s="92">
        <f t="shared" ca="1" si="3"/>
        <v>15204.6</v>
      </c>
      <c r="F14" s="92">
        <f t="shared" ca="1" si="4"/>
        <v>45613.8</v>
      </c>
      <c r="G14" s="87">
        <f ca="1">(D14*VLOOKUP(VLOOKUP(MID($B14,4,1),Tariffs!$I$4:$J$17,2,0),Tariffs!$B$3:$F$16,4,0)/100)+(E14*VLOOKUP(VLOOKUP(MID($B14,4,1),Tariffs!$I$4:$J$17,2,0),Tariffs!$B$3:$F$16,3,0))-(F14*VLOOKUP(VLOOKUP(MID($B14,4,1),Tariffs!$I$4:$J$17,2,0),Tariffs!$B$3:$F$16,5,0))</f>
        <v>-166690.36180552503</v>
      </c>
      <c r="H14" s="44">
        <f ca="1">IF((E14*VLOOKUP(VLOOKUP(MID($B14,4,1),Tariffs!$I$4:$J$17,2,0),Tariffs!$B$3:$F$16,3,0))-(F14*VLOOKUP(VLOOKUP(MID($B14,4,1),Tariffs!$I$4:$J$17,2,0),Tariffs!$B$3:$F$16,5,0))&lt;0,D14*VLOOKUP(VLOOKUP(MID($B14,4,1),Tariffs!$I$4:$J$17,2,0),Tariffs!$B$3:$F$16,4,0)/100,G14)</f>
        <v>15101.309450475001</v>
      </c>
      <c r="I14" s="91">
        <f t="shared" ca="1" si="5"/>
        <v>199560.375</v>
      </c>
      <c r="J14" s="92">
        <f t="shared" ca="1" si="6"/>
        <v>15964.83</v>
      </c>
      <c r="K14" s="92">
        <f t="shared" ca="1" si="7"/>
        <v>47894.49</v>
      </c>
      <c r="L14" s="41">
        <f ca="1">(I14*VLOOKUP(VLOOKUP(MID($B14,4,1),Tariffs!$I$4:$J$17,2,0),Tariffs!$B$3:$F$16,4,0)/100)+(J14*VLOOKUP(VLOOKUP(MID($B14,4,1),Tariffs!$I$4:$J$17,2,0),Tariffs!$B$3:$F$16,3,0))-(K14*VLOOKUP(VLOOKUP(MID($B14,4,1),Tariffs!$I$4:$J$17,2,0),Tariffs!$B$3:$F$16,5,0))</f>
        <v>-175024.87989580131</v>
      </c>
      <c r="M14" s="38">
        <f t="shared" ca="1" si="8"/>
        <v>-190126.18934627631</v>
      </c>
      <c r="N14" s="91">
        <f t="shared" ca="1" si="9"/>
        <v>199360.814625</v>
      </c>
      <c r="O14" s="92">
        <f t="shared" ca="1" si="10"/>
        <v>15948.865169999999</v>
      </c>
      <c r="P14" s="92">
        <f t="shared" ca="1" si="11"/>
        <v>47846.595509999999</v>
      </c>
      <c r="Q14" s="51">
        <f ca="1">(N14*VLOOKUP(VLOOKUP(MID($B14,4,1),Tariffs!$I$4:$J$17,2,0),Tariffs!$B$3:$F$16,4,0)/100)+(O14*VLOOKUP(VLOOKUP(MID($B14,4,1),Tariffs!$I$4:$J$17,2,0),Tariffs!$B$3:$F$16,3,0))-(P14*VLOOKUP(VLOOKUP(MID($B14,4,1),Tariffs!$I$4:$J$17,2,0),Tariffs!$B$3:$F$16,5,0))</f>
        <v>-174849.85501590557</v>
      </c>
      <c r="R14" s="48">
        <f t="shared" ca="1" si="12"/>
        <v>175.02487989573274</v>
      </c>
      <c r="AQ14" s="16">
        <f t="shared" ca="1" si="13"/>
        <v>126705</v>
      </c>
      <c r="AR14">
        <f t="shared" ca="1" si="14"/>
        <v>105</v>
      </c>
      <c r="AS14">
        <f t="shared" ca="1" si="15"/>
        <v>999</v>
      </c>
    </row>
    <row r="15" spans="2:45" ht="20.25" customHeight="1" thickBot="1" x14ac:dyDescent="0.3">
      <c r="B15" s="22" t="s">
        <v>44</v>
      </c>
      <c r="C15" s="85" t="s">
        <v>30</v>
      </c>
      <c r="D15" s="91">
        <f t="shared" ca="1" si="2"/>
        <v>116763</v>
      </c>
      <c r="E15" s="92">
        <f t="shared" ca="1" si="3"/>
        <v>5838.15</v>
      </c>
      <c r="F15" s="92">
        <f t="shared" ca="1" si="4"/>
        <v>17514.449999999997</v>
      </c>
      <c r="G15" s="87">
        <f ca="1">(D15*VLOOKUP(VLOOKUP(MID($B15,4,1),Tariffs!$I$4:$J$17,2,0),Tariffs!$B$3:$F$16,4,0)/100)+(E15*VLOOKUP(VLOOKUP(MID($B15,4,1),Tariffs!$I$4:$J$17,2,0),Tariffs!$B$3:$F$16,3,0))-(F15*VLOOKUP(VLOOKUP(MID($B15,4,1),Tariffs!$I$4:$J$17,2,0),Tariffs!$B$3:$F$16,5,0))</f>
        <v>11610.407136210066</v>
      </c>
      <c r="H15" s="44">
        <f ca="1">IF((E15*VLOOKUP(VLOOKUP(MID($B15,4,1),Tariffs!$I$4:$J$17,2,0),Tariffs!$B$3:$F$16,3,0))-(F15*VLOOKUP(VLOOKUP(MID($B15,4,1),Tariffs!$I$4:$J$17,2,0),Tariffs!$B$3:$F$16,5,0))&lt;0,D15*VLOOKUP(VLOOKUP(MID($B15,4,1),Tariffs!$I$4:$J$17,2,0),Tariffs!$B$3:$F$16,4,0)/100,G15)</f>
        <v>11610.407136210066</v>
      </c>
      <c r="I15" s="91">
        <f t="shared" ca="1" si="5"/>
        <v>112092.48</v>
      </c>
      <c r="J15" s="92">
        <f t="shared" ca="1" si="6"/>
        <v>5604.6239999999989</v>
      </c>
      <c r="K15" s="92">
        <f t="shared" ca="1" si="7"/>
        <v>16813.871999999996</v>
      </c>
      <c r="L15" s="41">
        <f ca="1">(I15*VLOOKUP(VLOOKUP(MID($B15,4,1),Tariffs!$I$4:$J$17,2,0),Tariffs!$B$3:$F$16,4,0)/100)+(J15*VLOOKUP(VLOOKUP(MID($B15,4,1),Tariffs!$I$4:$J$17,2,0),Tariffs!$B$3:$F$16,3,0))-(K15*VLOOKUP(VLOOKUP(MID($B15,4,1),Tariffs!$I$4:$J$17,2,0),Tariffs!$B$3:$F$16,5,0))</f>
        <v>11145.990850761591</v>
      </c>
      <c r="M15" s="38">
        <f t="shared" ca="1" si="8"/>
        <v>-464.41628544847481</v>
      </c>
      <c r="N15" s="91">
        <f t="shared" ca="1" si="9"/>
        <v>111307.83264000001</v>
      </c>
      <c r="O15" s="92">
        <f t="shared" ca="1" si="10"/>
        <v>5565.3916319999989</v>
      </c>
      <c r="P15" s="92">
        <f t="shared" ca="1" si="11"/>
        <v>16696.174895999997</v>
      </c>
      <c r="Q15" s="51">
        <f ca="1">(N15*VLOOKUP(VLOOKUP(MID($B15,4,1),Tariffs!$I$4:$J$17,2,0),Tariffs!$B$3:$F$16,4,0)/100)+(O15*VLOOKUP(VLOOKUP(MID($B15,4,1),Tariffs!$I$4:$J$17,2,0),Tariffs!$B$3:$F$16,3,0))-(P15*VLOOKUP(VLOOKUP(MID($B15,4,1),Tariffs!$I$4:$J$17,2,0),Tariffs!$B$3:$F$16,5,0))</f>
        <v>11067.968914806319</v>
      </c>
      <c r="R15" s="48">
        <f t="shared" ca="1" si="12"/>
        <v>-78.021935955272056</v>
      </c>
      <c r="AQ15" s="16">
        <f t="shared" ca="1" si="13"/>
        <v>77842</v>
      </c>
      <c r="AR15">
        <f t="shared" ca="1" si="14"/>
        <v>96</v>
      </c>
      <c r="AS15">
        <f t="shared" ca="1" si="15"/>
        <v>993</v>
      </c>
    </row>
    <row r="16" spans="2:45" ht="20.25" customHeight="1" thickBot="1" x14ac:dyDescent="0.3">
      <c r="B16" s="22" t="s">
        <v>45</v>
      </c>
      <c r="C16" s="85" t="s">
        <v>30</v>
      </c>
      <c r="D16" s="91">
        <f t="shared" ca="1" si="2"/>
        <v>126268.5</v>
      </c>
      <c r="E16" s="92">
        <f t="shared" ca="1" si="3"/>
        <v>12626.85</v>
      </c>
      <c r="F16" s="92">
        <f t="shared" ca="1" si="4"/>
        <v>37880.550000000003</v>
      </c>
      <c r="G16" s="87">
        <f ca="1">(D16*VLOOKUP(VLOOKUP(MID($B16,4,1),Tariffs!$I$4:$J$17,2,0),Tariffs!$B$3:$F$16,4,0)/100)+(E16*VLOOKUP(VLOOKUP(MID($B16,4,1),Tariffs!$I$4:$J$17,2,0),Tariffs!$B$3:$F$16,3,0))-(F16*VLOOKUP(VLOOKUP(MID($B16,4,1),Tariffs!$I$4:$J$17,2,0),Tariffs!$B$3:$F$16,5,0))</f>
        <v>-130451.36376968992</v>
      </c>
      <c r="H16" s="44">
        <f ca="1">IF((E16*VLOOKUP(VLOOKUP(MID($B16,4,1),Tariffs!$I$4:$J$17,2,0),Tariffs!$B$3:$F$16,3,0))-(F16*VLOOKUP(VLOOKUP(MID($B16,4,1),Tariffs!$I$4:$J$17,2,0),Tariffs!$B$3:$F$16,5,0))&lt;0,D16*VLOOKUP(VLOOKUP(MID($B16,4,1),Tariffs!$I$4:$J$17,2,0),Tariffs!$B$3:$F$16,4,0)/100,G16)</f>
        <v>9807.8880599100012</v>
      </c>
      <c r="I16" s="91">
        <f t="shared" ca="1" si="5"/>
        <v>122480.44500000001</v>
      </c>
      <c r="J16" s="92">
        <f t="shared" ca="1" si="6"/>
        <v>12248.0445</v>
      </c>
      <c r="K16" s="92">
        <f t="shared" ca="1" si="7"/>
        <v>36744.133500000004</v>
      </c>
      <c r="L16" s="41">
        <f ca="1">(I16*VLOOKUP(VLOOKUP(MID($B16,4,1),Tariffs!$I$4:$J$17,2,0),Tariffs!$B$3:$F$16,4,0)/100)+(J16*VLOOKUP(VLOOKUP(MID($B16,4,1),Tariffs!$I$4:$J$17,2,0),Tariffs!$B$3:$F$16,3,0))-(K16*VLOOKUP(VLOOKUP(MID($B16,4,1),Tariffs!$I$4:$J$17,2,0),Tariffs!$B$3:$F$16,5,0))</f>
        <v>-126537.82285659935</v>
      </c>
      <c r="M16" s="38">
        <f t="shared" ca="1" si="8"/>
        <v>-136345.71091650936</v>
      </c>
      <c r="N16" s="91">
        <f t="shared" ca="1" si="9"/>
        <v>123215.32767</v>
      </c>
      <c r="O16" s="92">
        <f t="shared" ca="1" si="10"/>
        <v>12321.532766999999</v>
      </c>
      <c r="P16" s="92">
        <f t="shared" ca="1" si="11"/>
        <v>36964.598301000005</v>
      </c>
      <c r="Q16" s="51">
        <f ca="1">(N16*VLOOKUP(VLOOKUP(MID($B16,4,1),Tariffs!$I$4:$J$17,2,0),Tariffs!$B$3:$F$16,4,0)/100)+(O16*VLOOKUP(VLOOKUP(MID($B16,4,1),Tariffs!$I$4:$J$17,2,0),Tariffs!$B$3:$F$16,3,0))-(P16*VLOOKUP(VLOOKUP(MID($B16,4,1),Tariffs!$I$4:$J$17,2,0),Tariffs!$B$3:$F$16,5,0))</f>
        <v>-127297.04979373899</v>
      </c>
      <c r="R16" s="48">
        <f t="shared" ca="1" si="12"/>
        <v>-759.22693713963963</v>
      </c>
      <c r="AQ16" s="16">
        <f t="shared" ca="1" si="13"/>
        <v>84179</v>
      </c>
      <c r="AR16">
        <f t="shared" ca="1" si="14"/>
        <v>97</v>
      </c>
      <c r="AS16">
        <f t="shared" ca="1" si="15"/>
        <v>1006</v>
      </c>
    </row>
    <row r="17" spans="2:45" ht="20.25" customHeight="1" thickBot="1" x14ac:dyDescent="0.3">
      <c r="B17" s="22" t="s">
        <v>46</v>
      </c>
      <c r="C17" s="85" t="s">
        <v>30</v>
      </c>
      <c r="D17" s="91">
        <f t="shared" ca="1" si="2"/>
        <v>123234</v>
      </c>
      <c r="E17" s="92">
        <f t="shared" ca="1" si="3"/>
        <v>7394.04</v>
      </c>
      <c r="F17" s="92">
        <f t="shared" ca="1" si="4"/>
        <v>22182.12</v>
      </c>
      <c r="G17" s="87">
        <f ca="1">(D17*VLOOKUP(VLOOKUP(MID($B17,4,1),Tariffs!$I$4:$J$17,2,0),Tariffs!$B$3:$F$16,4,0)/100)+(E17*VLOOKUP(VLOOKUP(MID($B17,4,1),Tariffs!$I$4:$J$17,2,0),Tariffs!$B$3:$F$16,3,0))-(F17*VLOOKUP(VLOOKUP(MID($B17,4,1),Tariffs!$I$4:$J$17,2,0),Tariffs!$B$3:$F$16,5,0))</f>
        <v>38494.074673800031</v>
      </c>
      <c r="H17" s="44">
        <f ca="1">IF((E17*VLOOKUP(VLOOKUP(MID($B17,4,1),Tariffs!$I$4:$J$17,2,0),Tariffs!$B$3:$F$16,3,0))-(F17*VLOOKUP(VLOOKUP(MID($B17,4,1),Tariffs!$I$4:$J$17,2,0),Tariffs!$B$3:$F$16,5,0))&lt;0,D17*VLOOKUP(VLOOKUP(MID($B17,4,1),Tariffs!$I$4:$J$17,2,0),Tariffs!$B$3:$F$16,4,0)/100,G17)</f>
        <v>38494.074673800031</v>
      </c>
      <c r="I17" s="91">
        <f t="shared" ca="1" si="5"/>
        <v>129395.7</v>
      </c>
      <c r="J17" s="92">
        <f t="shared" ca="1" si="6"/>
        <v>7763.7419999999993</v>
      </c>
      <c r="K17" s="92">
        <f t="shared" ca="1" si="7"/>
        <v>23291.226000000002</v>
      </c>
      <c r="L17" s="41">
        <f ca="1">(I17*VLOOKUP(VLOOKUP(MID($B17,4,1),Tariffs!$I$4:$J$17,2,0),Tariffs!$B$3:$F$16,4,0)/100)+(J17*VLOOKUP(VLOOKUP(MID($B17,4,1),Tariffs!$I$4:$J$17,2,0),Tariffs!$B$3:$F$16,3,0))-(K17*VLOOKUP(VLOOKUP(MID($B17,4,1),Tariffs!$I$4:$J$17,2,0),Tariffs!$B$3:$F$16,5,0))</f>
        <v>40418.778407489939</v>
      </c>
      <c r="M17" s="38">
        <f t="shared" ca="1" si="8"/>
        <v>1924.7037336899084</v>
      </c>
      <c r="N17" s="91">
        <f t="shared" ca="1" si="9"/>
        <v>130301.4699</v>
      </c>
      <c r="O17" s="92">
        <f t="shared" ca="1" si="10"/>
        <v>7818.088193999999</v>
      </c>
      <c r="P17" s="92">
        <f t="shared" ca="1" si="11"/>
        <v>23454.264582000003</v>
      </c>
      <c r="Q17" s="51">
        <f ca="1">(N17*VLOOKUP(VLOOKUP(MID($B17,4,1),Tariffs!$I$4:$J$17,2,0),Tariffs!$B$3:$F$16,4,0)/100)+(O17*VLOOKUP(VLOOKUP(MID($B17,4,1),Tariffs!$I$4:$J$17,2,0),Tariffs!$B$3:$F$16,3,0))-(P17*VLOOKUP(VLOOKUP(MID($B17,4,1),Tariffs!$I$4:$J$17,2,0),Tariffs!$B$3:$F$16,5,0))</f>
        <v>40701.70985634235</v>
      </c>
      <c r="R17" s="48">
        <f t="shared" ca="1" si="12"/>
        <v>282.93144885241054</v>
      </c>
      <c r="AQ17" s="16">
        <f t="shared" ca="1" si="13"/>
        <v>82156</v>
      </c>
      <c r="AR17">
        <f t="shared" ca="1" si="14"/>
        <v>105</v>
      </c>
      <c r="AS17">
        <f t="shared" ca="1" si="15"/>
        <v>1007</v>
      </c>
    </row>
    <row r="18" spans="2:45" ht="20.25" customHeight="1" thickBot="1" x14ac:dyDescent="0.3">
      <c r="B18" s="22" t="s">
        <v>47</v>
      </c>
      <c r="C18" s="85" t="s">
        <v>30</v>
      </c>
      <c r="D18" s="91">
        <f t="shared" ca="1" si="2"/>
        <v>134397</v>
      </c>
      <c r="E18" s="92">
        <f t="shared" ca="1" si="3"/>
        <v>8063.82</v>
      </c>
      <c r="F18" s="92">
        <f t="shared" ca="1" si="4"/>
        <v>24191.46</v>
      </c>
      <c r="G18" s="87">
        <f ca="1">(D18*VLOOKUP(VLOOKUP(MID($B18,4,1),Tariffs!$I$4:$J$17,2,0),Tariffs!$B$3:$F$16,4,0)/100)+(E18*VLOOKUP(VLOOKUP(MID($B18,4,1),Tariffs!$I$4:$J$17,2,0),Tariffs!$B$3:$F$16,3,0))-(F18*VLOOKUP(VLOOKUP(MID($B18,4,1),Tariffs!$I$4:$J$17,2,0),Tariffs!$B$3:$F$16,5,0))</f>
        <v>253416.81537638998</v>
      </c>
      <c r="H18" s="44">
        <f ca="1">IF((E18*VLOOKUP(VLOOKUP(MID($B18,4,1),Tariffs!$I$4:$J$17,2,0),Tariffs!$B$3:$F$16,3,0))-(F18*VLOOKUP(VLOOKUP(MID($B18,4,1),Tariffs!$I$4:$J$17,2,0),Tariffs!$B$3:$F$16,5,0))&lt;0,D18*VLOOKUP(VLOOKUP(MID($B18,4,1),Tariffs!$I$4:$J$17,2,0),Tariffs!$B$3:$F$16,4,0)/100,G18)</f>
        <v>253416.81537638998</v>
      </c>
      <c r="I18" s="91">
        <f t="shared" ca="1" si="5"/>
        <v>135740.97</v>
      </c>
      <c r="J18" s="92">
        <f t="shared" ca="1" si="6"/>
        <v>8144.4581999999991</v>
      </c>
      <c r="K18" s="92">
        <f t="shared" ca="1" si="7"/>
        <v>24433.374599999999</v>
      </c>
      <c r="L18" s="41">
        <f ca="1">(I18*VLOOKUP(VLOOKUP(MID($B18,4,1),Tariffs!$I$4:$J$17,2,0),Tariffs!$B$3:$F$16,4,0)/100)+(J18*VLOOKUP(VLOOKUP(MID($B18,4,1),Tariffs!$I$4:$J$17,2,0),Tariffs!$B$3:$F$16,3,0))-(K18*VLOOKUP(VLOOKUP(MID($B18,4,1),Tariffs!$I$4:$J$17,2,0),Tariffs!$B$3:$F$16,5,0))</f>
        <v>255950.9835301539</v>
      </c>
      <c r="M18" s="38">
        <f t="shared" ca="1" si="8"/>
        <v>2534.1681537639233</v>
      </c>
      <c r="N18" s="91">
        <f t="shared" ca="1" si="9"/>
        <v>135333.74708999999</v>
      </c>
      <c r="O18" s="92">
        <f t="shared" ca="1" si="10"/>
        <v>8120.0248253999998</v>
      </c>
      <c r="P18" s="92">
        <f t="shared" ca="1" si="11"/>
        <v>24360.074476199999</v>
      </c>
      <c r="Q18" s="51">
        <f ca="1">(N18*VLOOKUP(VLOOKUP(MID($B18,4,1),Tariffs!$I$4:$J$17,2,0),Tariffs!$B$3:$F$16,4,0)/100)+(O18*VLOOKUP(VLOOKUP(MID($B18,4,1),Tariffs!$I$4:$J$17,2,0),Tariffs!$B$3:$F$16,3,0))-(P18*VLOOKUP(VLOOKUP(MID($B18,4,1),Tariffs!$I$4:$J$17,2,0),Tariffs!$B$3:$F$16,5,0))</f>
        <v>255183.13057956344</v>
      </c>
      <c r="R18" s="48">
        <f t="shared" ca="1" si="12"/>
        <v>-767.85295059045893</v>
      </c>
      <c r="AQ18" s="16">
        <f t="shared" ca="1" si="13"/>
        <v>89598</v>
      </c>
      <c r="AR18">
        <f t="shared" ca="1" si="14"/>
        <v>101</v>
      </c>
      <c r="AS18">
        <f t="shared" ca="1" si="15"/>
        <v>997</v>
      </c>
    </row>
    <row r="19" spans="2:45" ht="20.25" customHeight="1" thickBot="1" x14ac:dyDescent="0.3">
      <c r="B19" s="22" t="s">
        <v>48</v>
      </c>
      <c r="C19" s="85" t="s">
        <v>30</v>
      </c>
      <c r="D19" s="91">
        <f t="shared" ca="1" si="2"/>
        <v>135438</v>
      </c>
      <c r="E19" s="92">
        <f t="shared" ca="1" si="3"/>
        <v>10835.04</v>
      </c>
      <c r="F19" s="92">
        <f t="shared" ca="1" si="4"/>
        <v>32505.120000000003</v>
      </c>
      <c r="G19" s="87">
        <f ca="1">(D19*VLOOKUP(VLOOKUP(MID($B19,4,1),Tariffs!$I$4:$J$17,2,0),Tariffs!$B$3:$F$16,4,0)/100)+(E19*VLOOKUP(VLOOKUP(MID($B19,4,1),Tariffs!$I$4:$J$17,2,0),Tariffs!$B$3:$F$16,3,0))-(F19*VLOOKUP(VLOOKUP(MID($B19,4,1),Tariffs!$I$4:$J$17,2,0),Tariffs!$B$3:$F$16,5,0))</f>
        <v>231044.51037180002</v>
      </c>
      <c r="H19" s="44">
        <f ca="1">IF((E19*VLOOKUP(VLOOKUP(MID($B19,4,1),Tariffs!$I$4:$J$17,2,0),Tariffs!$B$3:$F$16,3,0))-(F19*VLOOKUP(VLOOKUP(MID($B19,4,1),Tariffs!$I$4:$J$17,2,0),Tariffs!$B$3:$F$16,5,0))&lt;0,D19*VLOOKUP(VLOOKUP(MID($B19,4,1),Tariffs!$I$4:$J$17,2,0),Tariffs!$B$3:$F$16,4,0)/100,G19)</f>
        <v>231044.51037180002</v>
      </c>
      <c r="I19" s="91">
        <f t="shared" ca="1" si="5"/>
        <v>134083.62</v>
      </c>
      <c r="J19" s="92">
        <f t="shared" ca="1" si="6"/>
        <v>10726.689600000002</v>
      </c>
      <c r="K19" s="92">
        <f t="shared" ca="1" si="7"/>
        <v>32180.068800000005</v>
      </c>
      <c r="L19" s="41">
        <f ca="1">(I19*VLOOKUP(VLOOKUP(MID($B19,4,1),Tariffs!$I$4:$J$17,2,0),Tariffs!$B$3:$F$16,4,0)/100)+(J19*VLOOKUP(VLOOKUP(MID($B19,4,1),Tariffs!$I$4:$J$17,2,0),Tariffs!$B$3:$F$16,3,0))-(K19*VLOOKUP(VLOOKUP(MID($B19,4,1),Tariffs!$I$4:$J$17,2,0),Tariffs!$B$3:$F$16,5,0))</f>
        <v>228734.06526808205</v>
      </c>
      <c r="M19" s="38">
        <f t="shared" ca="1" si="8"/>
        <v>-2310.4451037179679</v>
      </c>
      <c r="N19" s="91">
        <f t="shared" ca="1" si="9"/>
        <v>134754.03810000001</v>
      </c>
      <c r="O19" s="92">
        <f t="shared" ca="1" si="10"/>
        <v>10780.323048000002</v>
      </c>
      <c r="P19" s="92">
        <f t="shared" ca="1" si="11"/>
        <v>32340.969144000006</v>
      </c>
      <c r="Q19" s="51">
        <f ca="1">(N19*VLOOKUP(VLOOKUP(MID($B19,4,1),Tariffs!$I$4:$J$17,2,0),Tariffs!$B$3:$F$16,4,0)/100)+(O19*VLOOKUP(VLOOKUP(MID($B19,4,1),Tariffs!$I$4:$J$17,2,0),Tariffs!$B$3:$F$16,3,0))-(P19*VLOOKUP(VLOOKUP(MID($B19,4,1),Tariffs!$I$4:$J$17,2,0),Tariffs!$B$3:$F$16,5,0))</f>
        <v>229877.73559442247</v>
      </c>
      <c r="R19" s="48">
        <f t="shared" ca="1" si="12"/>
        <v>1143.6703263404197</v>
      </c>
      <c r="AQ19" s="16">
        <f t="shared" ca="1" si="13"/>
        <v>90292</v>
      </c>
      <c r="AR19">
        <f t="shared" ca="1" si="14"/>
        <v>99</v>
      </c>
      <c r="AS19">
        <f t="shared" ca="1" si="15"/>
        <v>1005</v>
      </c>
    </row>
    <row r="20" spans="2:45" ht="20.25" customHeight="1" thickBot="1" x14ac:dyDescent="0.3">
      <c r="B20" s="22" t="s">
        <v>31</v>
      </c>
      <c r="C20" s="85" t="s">
        <v>32</v>
      </c>
      <c r="D20" s="91">
        <v>0</v>
      </c>
      <c r="E20" s="92">
        <f ca="1">E19*5</f>
        <v>54175.200000000004</v>
      </c>
      <c r="F20" s="92">
        <v>0</v>
      </c>
      <c r="G20" s="87">
        <f ca="1">(D20*VLOOKUP(VLOOKUP(MID($B20,4,1),Tariffs!$I$4:$J$17,2,0),Tariffs!$B$3:$F$16,4,0)/100)+(E20*VLOOKUP(VLOOKUP(MID($B20,4,1),Tariffs!$I$4:$J$17,2,0),Tariffs!$B$3:$F$16,3,0))-(F20*VLOOKUP(VLOOKUP(MID($B20,4,1),Tariffs!$I$4:$J$17,2,0),Tariffs!$B$3:$F$16,5,0))</f>
        <v>2786759.8277040003</v>
      </c>
      <c r="H20" s="44">
        <f ca="1">IF((E20*VLOOKUP(VLOOKUP(MID($B20,4,1),Tariffs!$I$4:$J$17,2,0),Tariffs!$B$3:$F$16,3,0))-(F20*VLOOKUP(VLOOKUP(MID($B20,4,1),Tariffs!$I$4:$J$17,2,0),Tariffs!$B$3:$F$16,5,0))&lt;0,D20*VLOOKUP(VLOOKUP(MID($B20,4,1),Tariffs!$I$4:$J$17,2,0),Tariffs!$B$3:$F$16,4,0)/100,G20)</f>
        <v>2786759.8277040003</v>
      </c>
      <c r="I20" s="91">
        <f t="shared" ca="1" si="5"/>
        <v>0</v>
      </c>
      <c r="J20" s="92">
        <f t="shared" ca="1" si="6"/>
        <v>55800.456000000006</v>
      </c>
      <c r="K20" s="92">
        <f t="shared" ca="1" si="7"/>
        <v>0</v>
      </c>
      <c r="L20" s="41">
        <f ca="1">(I20*VLOOKUP(VLOOKUP(MID($B20,4,1),Tariffs!$I$4:$J$17,2,0),Tariffs!$B$3:$F$16,4,0)/100)+(J20*VLOOKUP(VLOOKUP(MID($B20,4,1),Tariffs!$I$4:$J$17,2,0),Tariffs!$B$3:$F$16,3,0))-(K20*VLOOKUP(VLOOKUP(MID($B20,4,1),Tariffs!$I$4:$J$17,2,0),Tariffs!$B$3:$F$16,5,0))</f>
        <v>2870362.6225351202</v>
      </c>
      <c r="M20" s="38">
        <f t="shared" ca="1" si="8"/>
        <v>83602.794831119943</v>
      </c>
      <c r="N20" s="91">
        <f t="shared" ca="1" si="9"/>
        <v>0</v>
      </c>
      <c r="O20" s="92">
        <f t="shared" ca="1" si="10"/>
        <v>56135.258736000011</v>
      </c>
      <c r="P20" s="92">
        <f t="shared" ca="1" si="11"/>
        <v>0</v>
      </c>
      <c r="Q20" s="51">
        <f ca="1">(N20*VLOOKUP(VLOOKUP(MID($B20,4,1),Tariffs!$I$4:$J$17,2,0),Tariffs!$B$3:$F$16,4,0)/100)+(O20*VLOOKUP(VLOOKUP(MID($B20,4,1),Tariffs!$I$4:$J$17,2,0),Tariffs!$B$3:$F$16,3,0))-(P20*VLOOKUP(VLOOKUP(MID($B20,4,1),Tariffs!$I$4:$J$17,2,0),Tariffs!$B$3:$F$16,5,0))</f>
        <v>2887584.7982703312</v>
      </c>
      <c r="R20" s="48">
        <f t="shared" ca="1" si="12"/>
        <v>17222.175735211</v>
      </c>
      <c r="AQ20" s="16">
        <f t="shared" ca="1" si="13"/>
        <v>89064</v>
      </c>
      <c r="AR20">
        <f t="shared" ca="1" si="14"/>
        <v>103</v>
      </c>
      <c r="AS20">
        <f t="shared" ca="1" si="15"/>
        <v>1006</v>
      </c>
    </row>
    <row r="21" spans="2:45" ht="20.25" customHeight="1" thickBot="1" x14ac:dyDescent="0.3">
      <c r="B21" s="23" t="s">
        <v>33</v>
      </c>
      <c r="C21" s="86" t="s">
        <v>34</v>
      </c>
      <c r="D21" s="91">
        <v>0</v>
      </c>
      <c r="E21" s="92">
        <f t="shared" ref="E21" si="16">D21*0.02</f>
        <v>0</v>
      </c>
      <c r="F21" s="92">
        <f t="shared" ref="F21" si="17">E21*$F$4</f>
        <v>0</v>
      </c>
      <c r="G21" s="87">
        <f>(D21*VLOOKUP(VLOOKUP(MID($B21,4,1),Tariffs!$I$4:$J$17,2,0),Tariffs!$B$3:$F$16,4,0)/100)+(E21*VLOOKUP(VLOOKUP(MID($B21,4,1),Tariffs!$I$4:$J$17,2,0),Tariffs!$B$3:$F$16,3,0))-(F21*VLOOKUP(VLOOKUP(MID($B21,4,1),Tariffs!$I$4:$J$17,2,0),Tariffs!$B$3:$F$16,5,0))</f>
        <v>0</v>
      </c>
      <c r="H21" s="56">
        <f>IF((E21*VLOOKUP(VLOOKUP(MID($B21,4,1),Tariffs!$I$4:$J$17,2,0),Tariffs!$B$3:$F$16,3,0))-(F21*VLOOKUP(VLOOKUP(MID($B21,4,1),Tariffs!$I$4:$J$17,2,0),Tariffs!$B$3:$F$16,5,0))&lt;0,D21*VLOOKUP(VLOOKUP(MID($B21,4,1),Tariffs!$I$4:$J$17,2,0),Tariffs!$B$3:$F$16,4,0)/100,G21)</f>
        <v>0</v>
      </c>
      <c r="I21" s="91">
        <f t="shared" ca="1" si="5"/>
        <v>0</v>
      </c>
      <c r="J21" s="92">
        <f t="shared" ca="1" si="6"/>
        <v>0</v>
      </c>
      <c r="K21" s="92">
        <f ca="1">SUM(F6:F20)*F4*0.05</f>
        <v>72916.436250000013</v>
      </c>
      <c r="L21" s="42">
        <f ca="1">(I21*VLOOKUP(VLOOKUP(MID($B21,4,1),Tariffs!$I$4:$J$17,2,0),Tariffs!$B$3:$F$16,4,0)/100)+(J21*VLOOKUP(VLOOKUP(MID($B21,4,1),Tariffs!$I$4:$J$17,2,0),Tariffs!$B$3:$F$16,3,0))-(K21*VLOOKUP(VLOOKUP(MID($B21,4,1),Tariffs!$I$4:$J$17,2,0),Tariffs!$B$3:$F$16,5,0))</f>
        <v>-1313807.5462717016</v>
      </c>
      <c r="M21" s="39">
        <f t="shared" ca="1" si="8"/>
        <v>-1313807.5462717016</v>
      </c>
      <c r="N21" s="91">
        <f t="shared" ca="1" si="9"/>
        <v>0</v>
      </c>
      <c r="O21" s="92">
        <f t="shared" ca="1" si="10"/>
        <v>0</v>
      </c>
      <c r="P21" s="92">
        <f t="shared" ca="1" si="11"/>
        <v>73353.934867500007</v>
      </c>
      <c r="Q21" s="52">
        <f ca="1">(N21*VLOOKUP(VLOOKUP(MID($B21,4,1),Tariffs!$I$4:$J$17,2,0),Tariffs!$B$3:$F$16,4,0)/100)+(O21*VLOOKUP(VLOOKUP(MID($B21,4,1),Tariffs!$I$4:$J$17,2,0),Tariffs!$B$3:$F$16,3,0))-(P21*VLOOKUP(VLOOKUP(MID($B21,4,1),Tariffs!$I$4:$J$17,2,0),Tariffs!$B$3:$F$16,5,0))</f>
        <v>-1321690.3915493316</v>
      </c>
      <c r="R21" s="49">
        <f t="shared" ca="1" si="12"/>
        <v>-7882.8452776300255</v>
      </c>
      <c r="AQ21" s="16">
        <f t="shared" ca="1" si="13"/>
        <v>106422</v>
      </c>
      <c r="AR21">
        <f t="shared" ca="1" si="14"/>
        <v>96</v>
      </c>
      <c r="AS21">
        <f t="shared" ca="1" si="15"/>
        <v>1006</v>
      </c>
    </row>
    <row r="22" spans="2:45" ht="24.75" customHeight="1" thickBot="1" x14ac:dyDescent="0.3">
      <c r="B22" s="18" t="s">
        <v>35</v>
      </c>
      <c r="C22" s="19"/>
      <c r="D22" s="90"/>
      <c r="E22" s="90"/>
      <c r="F22" s="90"/>
      <c r="G22" s="34">
        <f ca="1">SUM(G6:G21)</f>
        <v>2616215.4786805655</v>
      </c>
      <c r="H22" s="45">
        <f ca="1">SUM(H6:H21)</f>
        <v>3700168.9797347854</v>
      </c>
      <c r="I22" s="35"/>
      <c r="J22" s="24"/>
      <c r="K22" s="36"/>
      <c r="L22" s="43">
        <f ca="1">SUM(L6:L21)</f>
        <v>1360839.5666146243</v>
      </c>
      <c r="M22" s="40">
        <f ca="1">SUM(M6:M21)</f>
        <v>-2339329.4131201613</v>
      </c>
      <c r="N22" s="25"/>
      <c r="O22" s="25"/>
      <c r="P22" s="46"/>
      <c r="Q22" s="53">
        <f ca="1">SUM(Q6:Q21)</f>
        <v>1371890.5286044725</v>
      </c>
      <c r="R22" s="50">
        <f ca="1">SUM(R6:R21)</f>
        <v>11050.961989848322</v>
      </c>
    </row>
    <row r="23" spans="2:45" ht="7.5" customHeight="1" x14ac:dyDescent="0.25"/>
  </sheetData>
  <sheetProtection sheet="1" objects="1" scenarios="1"/>
  <conditionalFormatting sqref="M6:M22">
    <cfRule type="colorScale" priority="2">
      <colorScale>
        <cfvo type="min"/>
        <cfvo type="percentile" val="50"/>
        <cfvo type="max"/>
        <color rgb="FF63BE7B"/>
        <color rgb="FFFCFCFF"/>
        <color rgb="FFF8696B"/>
      </colorScale>
    </cfRule>
  </conditionalFormatting>
  <conditionalFormatting sqref="R6:R22">
    <cfRule type="colorScale" priority="1">
      <colorScale>
        <cfvo type="min"/>
        <cfvo type="percentile" val="50"/>
        <cfvo type="max"/>
        <color rgb="FF63BE7B"/>
        <color rgb="FFFCFCFF"/>
        <color rgb="FFF8696B"/>
      </colorScale>
    </cfRule>
  </conditionalFormatting>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606144-8FF9-42AF-B276-0077B90CAFC9}">
  <sheetPr codeName="Sheet5"/>
  <dimension ref="B1:J17"/>
  <sheetViews>
    <sheetView workbookViewId="0">
      <selection activeCell="I3" sqref="I3:J17"/>
    </sheetView>
  </sheetViews>
  <sheetFormatPr defaultRowHeight="15" x14ac:dyDescent="0.25"/>
  <cols>
    <col min="2" max="2" width="12.7109375" customWidth="1"/>
    <col min="3" max="3" width="16.85546875" bestFit="1" customWidth="1"/>
    <col min="4" max="6" width="12.7109375" customWidth="1"/>
  </cols>
  <sheetData>
    <row r="1" spans="2:10" ht="15.75" thickBot="1" x14ac:dyDescent="0.3"/>
    <row r="2" spans="2:10" ht="51.75" thickBot="1" x14ac:dyDescent="0.3">
      <c r="B2" s="1" t="s">
        <v>49</v>
      </c>
      <c r="C2" s="2" t="s">
        <v>50</v>
      </c>
      <c r="D2" s="2" t="s">
        <v>51</v>
      </c>
      <c r="E2" s="2" t="s">
        <v>52</v>
      </c>
      <c r="F2" s="3" t="s">
        <v>53</v>
      </c>
    </row>
    <row r="3" spans="2:10" x14ac:dyDescent="0.25">
      <c r="B3" s="4">
        <v>1</v>
      </c>
      <c r="C3" s="5" t="s">
        <v>54</v>
      </c>
      <c r="D3" s="6">
        <v>20.971270000000001</v>
      </c>
      <c r="E3" s="6">
        <v>2.8204500000000001</v>
      </c>
      <c r="F3" s="7">
        <v>0</v>
      </c>
      <c r="I3" t="s">
        <v>55</v>
      </c>
    </row>
    <row r="4" spans="2:10" x14ac:dyDescent="0.25">
      <c r="B4" s="8">
        <v>2</v>
      </c>
      <c r="C4" s="9" t="s">
        <v>56</v>
      </c>
      <c r="D4" s="10">
        <v>30.755392000000001</v>
      </c>
      <c r="E4" s="10">
        <v>4.0260350000000003</v>
      </c>
      <c r="F4" s="11">
        <v>0</v>
      </c>
      <c r="I4" t="s">
        <v>57</v>
      </c>
      <c r="J4">
        <v>9</v>
      </c>
    </row>
    <row r="5" spans="2:10" x14ac:dyDescent="0.25">
      <c r="B5" s="8">
        <v>3</v>
      </c>
      <c r="C5" s="9" t="s">
        <v>58</v>
      </c>
      <c r="D5" s="10">
        <v>41.026682999999998</v>
      </c>
      <c r="E5" s="10">
        <v>5.2138330000000002</v>
      </c>
      <c r="F5" s="11">
        <v>7.6049020000000001</v>
      </c>
      <c r="I5" t="s">
        <v>59</v>
      </c>
      <c r="J5">
        <v>7</v>
      </c>
    </row>
    <row r="6" spans="2:10" x14ac:dyDescent="0.25">
      <c r="B6" s="8">
        <v>4</v>
      </c>
      <c r="C6" s="9" t="s">
        <v>60</v>
      </c>
      <c r="D6" s="10">
        <v>47.831581</v>
      </c>
      <c r="E6" s="10">
        <v>6.2022760000000003</v>
      </c>
      <c r="F6" s="11">
        <v>14.409800000000001</v>
      </c>
      <c r="I6" t="s">
        <v>61</v>
      </c>
      <c r="J6">
        <v>12</v>
      </c>
    </row>
    <row r="7" spans="2:10" x14ac:dyDescent="0.25">
      <c r="B7" s="8">
        <v>5</v>
      </c>
      <c r="C7" s="9" t="s">
        <v>62</v>
      </c>
      <c r="D7" s="10">
        <v>48.039318000000002</v>
      </c>
      <c r="E7" s="10">
        <v>6.1163280000000002</v>
      </c>
      <c r="F7" s="11">
        <v>14.617537</v>
      </c>
      <c r="I7" t="s">
        <v>63</v>
      </c>
      <c r="J7">
        <v>6</v>
      </c>
    </row>
    <row r="8" spans="2:10" x14ac:dyDescent="0.25">
      <c r="B8" s="8">
        <v>6</v>
      </c>
      <c r="C8" s="9" t="s">
        <v>64</v>
      </c>
      <c r="D8" s="10">
        <v>49.345368000000001</v>
      </c>
      <c r="E8" s="10">
        <v>6.2237600000000004</v>
      </c>
      <c r="F8" s="11">
        <v>15.923586999999999</v>
      </c>
      <c r="I8" t="s">
        <v>65</v>
      </c>
      <c r="J8">
        <v>8</v>
      </c>
    </row>
    <row r="9" spans="2:10" x14ac:dyDescent="0.25">
      <c r="B9" s="8">
        <v>7</v>
      </c>
      <c r="C9" s="9" t="s">
        <v>66</v>
      </c>
      <c r="D9" s="10">
        <v>51.439770000000003</v>
      </c>
      <c r="E9" s="10">
        <v>6.7385570000000001</v>
      </c>
      <c r="F9" s="11">
        <v>18.017989</v>
      </c>
      <c r="I9" t="s">
        <v>67</v>
      </c>
      <c r="J9">
        <v>3</v>
      </c>
    </row>
    <row r="10" spans="2:10" x14ac:dyDescent="0.25">
      <c r="B10" s="8">
        <v>8</v>
      </c>
      <c r="C10" s="9" t="s">
        <v>68</v>
      </c>
      <c r="D10" s="10">
        <v>52.928066000000001</v>
      </c>
      <c r="E10" s="10">
        <v>6.9774330000000004</v>
      </c>
      <c r="F10" s="11">
        <v>19.506285999999999</v>
      </c>
      <c r="I10" t="s">
        <v>69</v>
      </c>
      <c r="J10">
        <v>4</v>
      </c>
    </row>
    <row r="11" spans="2:10" x14ac:dyDescent="0.25">
      <c r="B11" s="8">
        <v>9</v>
      </c>
      <c r="C11" s="9" t="s">
        <v>70</v>
      </c>
      <c r="D11" s="10">
        <v>53.788327000000002</v>
      </c>
      <c r="E11" s="10">
        <v>7.4966879999999998</v>
      </c>
      <c r="F11" s="11">
        <v>20.366546</v>
      </c>
      <c r="I11" t="s">
        <v>71</v>
      </c>
      <c r="J11">
        <v>13</v>
      </c>
    </row>
    <row r="12" spans="2:10" x14ac:dyDescent="0.25">
      <c r="B12" s="8">
        <v>10</v>
      </c>
      <c r="C12" s="9" t="s">
        <v>72</v>
      </c>
      <c r="D12" s="10">
        <v>49.725642000000001</v>
      </c>
      <c r="E12" s="10">
        <v>5.8732870000000004</v>
      </c>
      <c r="F12" s="11">
        <v>16.303861999999999</v>
      </c>
      <c r="I12" t="s">
        <v>73</v>
      </c>
      <c r="J12">
        <v>11</v>
      </c>
    </row>
    <row r="13" spans="2:10" x14ac:dyDescent="0.25">
      <c r="B13" s="8">
        <v>11</v>
      </c>
      <c r="C13" s="9" t="s">
        <v>74</v>
      </c>
      <c r="D13" s="10">
        <v>56.110849999999999</v>
      </c>
      <c r="E13" s="10">
        <v>7.9456530000000001</v>
      </c>
      <c r="F13" s="11">
        <v>22.689070000000001</v>
      </c>
      <c r="I13" t="s">
        <v>75</v>
      </c>
      <c r="J13">
        <v>10</v>
      </c>
    </row>
    <row r="14" spans="2:10" x14ac:dyDescent="0.25">
      <c r="B14" s="8">
        <v>12</v>
      </c>
      <c r="C14" s="9" t="s">
        <v>76</v>
      </c>
      <c r="D14" s="10">
        <v>59.175787999999997</v>
      </c>
      <c r="E14" s="10">
        <v>6.2913959999999998</v>
      </c>
      <c r="F14" s="11">
        <v>25.754007000000001</v>
      </c>
      <c r="I14" t="s">
        <v>77</v>
      </c>
      <c r="J14">
        <v>14</v>
      </c>
    </row>
    <row r="15" spans="2:10" x14ac:dyDescent="0.25">
      <c r="B15" s="8">
        <v>13</v>
      </c>
      <c r="C15" s="9" t="s">
        <v>78</v>
      </c>
      <c r="D15" s="10">
        <v>57.338780999999997</v>
      </c>
      <c r="E15" s="10">
        <v>7.586023</v>
      </c>
      <c r="F15" s="11">
        <v>23.917000000000002</v>
      </c>
      <c r="I15" t="s">
        <v>79</v>
      </c>
      <c r="J15">
        <v>5</v>
      </c>
    </row>
    <row r="16" spans="2:10" ht="15.75" thickBot="1" x14ac:dyDescent="0.3">
      <c r="B16" s="12">
        <v>14</v>
      </c>
      <c r="C16" s="13" t="s">
        <v>80</v>
      </c>
      <c r="D16" s="14">
        <v>55.686678000000001</v>
      </c>
      <c r="E16" s="14">
        <v>7.7674859999999999</v>
      </c>
      <c r="F16" s="15">
        <v>22.264897999999999</v>
      </c>
      <c r="I16" t="s">
        <v>81</v>
      </c>
      <c r="J16">
        <v>2</v>
      </c>
    </row>
    <row r="17" spans="9:10" x14ac:dyDescent="0.25">
      <c r="I17" t="s">
        <v>82</v>
      </c>
      <c r="J17">
        <v>1</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s q m i d = " 7 2 a 8 1 0 3 f - 3 e a 7 - 4 e d 1 - 9 4 9 7 - 2 6 d b 4 f b 9 e f 3 0 "   x m l n s = " h t t p : / / s c h e m a s . m i c r o s o f t . c o m / D a t a M a s h u p " > A A A A A B k D A A B Q S w M E F A A C A A g A R k R R T 6 m H d Q q p A A A A + Q A A A B I A H A B D b 2 5 m a W c v U G F j a 2 F n Z S 5 4 b W w g o h g A K K A U A A A A A A A A A A A A A A A A A A A A A A A A A A A A h Y / R C o I w G I V f R X b v N i d G y O + E u u g m I Q i i 2 z G X j n S G m 8 1 3 6 6 J H 6 h U S y u q u y 3 P 4 D n z n c b t D P r Z N c F W 9 1 Z 3 J U I Q p C p S R X a l N l a H B n c I l y j n s h D y L S g U T b G w 6 W p 2 h 2 r l L S o j 3 H v s Y d 3 1 F G K U R O R b b v a x V K 0 J t r B N G K v R Z l f 9 X i M P h J c M Z T h Y 4 o S z G U U Q Z k L m H Q p s v w y Z l T I H 8 l L A e G j f 0 i i s T b l Z A 5 g j k f Y M / A V B L A w Q U A A I A C A B G R F F P 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R k R R T y i K R 7 g O A A A A E Q A A A B M A H A B G b 3 J t d W x h c y 9 T Z W N 0 a W 9 u M S 5 t I K I Y A C i g F A A A A A A A A A A A A A A A A A A A A A A A A A A A A C t O T S 7 J z M 9 T C I b Q h t Y A U E s B A i 0 A F A A C A A g A R k R R T 6 m H d Q q p A A A A + Q A A A B I A A A A A A A A A A A A A A A A A A A A A A E N v b m Z p Z y 9 Q Y W N r Y W d l L n h t b F B L A Q I t A B Q A A g A I A E Z E U U 8 P y u m r p A A A A O k A A A A T A A A A A A A A A A A A A A A A A P U A A A B b Q 2 9 u d G V u d F 9 U e X B l c 1 0 u e G 1 s U E s B A i 0 A F A A C A A g A R k R R T y i K R 7 g O A A A A E Q A A A B M A A A A A A A A A A A A A A A A A 5 g E A A E Z v c m 1 1 b G F z L 1 N l Y 3 R p b 2 4 x L m 1 Q S w U G A A A A A A M A A w D C A A A A Q Q I A A A A A E A E A A O + 7 v z w / e G 1 s I H Z l c n N p b 2 4 9 I j E u M C I g Z W 5 j b 2 R p b m c 9 I n V 0 Z i 0 4 I j 8 + P F B l c m 1 p c 3 N p b 2 5 M a X N 0 I H h t b G 5 z O n h z a T 0 i a H R 0 c D o v L 3 d 3 d y 5 3 M y 5 v c m c v M j A w M S 9 Y T U x T Y 2 h l b W E t a W 5 z d G F u Y 2 U i I H h t b G 5 z O n h z Z D 0 i a H R 0 c D o v L 3 d 3 d y 5 3 M y 5 v c m c v M j A w M S 9 Y T U x T Y 2 h l b W E i P j x D Y W 5 F d m F s d W F 0 Z U Z 1 d H V y Z V B h Y 2 t h Z 2 V z P m Z h b H N l P C 9 D Y W 5 F d m F s d W F 0 Z U Z 1 d H V y Z V B h Y 2 t h Z 2 V z P j x G a X J l d 2 F s b E V u Y W J s Z W Q + d H J 1 Z T w v R m l y Z X d h b G x F b m F i b G V k P j w v U G V y b W l z c 2 l v b k x p c 3 Q + l w E A A A A A A A B 1 A Q A A 7 7 u / P D 9 4 b W w g d m V y c 2 l v b j 0 i M S 4 w I i B l b m N v Z G l u Z z 0 i d X R m L T g i P z 4 8 T G 9 j Y W x Q Y W N r Y W d l T W V 0 Y W R h d G F G a W x l I H h t b G 5 z O n h z a T 0 i a H R 0 c D o v L 3 d 3 d y 5 3 M y 5 v c m c v M j A w M S 9 Y T U x T Y 2 h l b W E t a W 5 z d G F u Y 2 U i I H h t b G 5 z O n h z Z D 0 i a H R 0 c D o v L 3 d 3 d y 5 3 M y 5 v c m c v M j A w M S 9 Y T U x T Y 2 h l b W E 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D c F 1 / l s L 6 t P r v W Z k v s 0 s z k A A A A A A g A A A A A A A 2 Y A A M A A A A A Q A A A A 5 F K 4 a 3 T 0 c S u X p D r I / H 5 G c Q A A A A A E g A A A o A A A A B A A A A D Y D T 1 O F H L W M K Z e y g 1 E v w i f U A A A A A 2 M i K 9 P q Y d f f + u 3 B z A k l v w C L 1 h S o / x i v W G p B f 6 C n T 3 3 l A m W q O q 7 A T W p 6 M x O o P V X L U i Z v 1 R K i w 3 k W G C o y P G U w M 5 i 3 m S A O s J U Z h A s M w J R c R x F F A A A A I O H 6 0 v o V a Y a e T 6 S s L m g g C k 3 n o D c < / D a t a M a s h u p > 
</file>

<file path=customXml/item2.xml><?xml version="1.0" encoding="utf-8"?>
<ct:contentTypeSchema xmlns:ct="http://schemas.microsoft.com/office/2006/metadata/contentType" xmlns:ma="http://schemas.microsoft.com/office/2006/metadata/properties/metaAttributes" ct:_="" ma:_="" ma:contentTypeName="Document" ma:contentTypeID="0x010100F2497B4E5F5A734FBB93D4C278CAC184" ma:contentTypeVersion="6" ma:contentTypeDescription="Create a new document." ma:contentTypeScope="" ma:versionID="f277091c751f62e4c5eab55f0bb102d7">
  <xsd:schema xmlns:xsd="http://www.w3.org/2001/XMLSchema" xmlns:xs="http://www.w3.org/2001/XMLSchema" xmlns:p="http://schemas.microsoft.com/office/2006/metadata/properties" xmlns:ns2="fe7dbb82-34e2-4297-9b20-978783b074cb" xmlns:ns3="78f916c6-ecd0-4727-ba67-5a29ec0be12f" targetNamespace="http://schemas.microsoft.com/office/2006/metadata/properties" ma:root="true" ma:fieldsID="de6926c650fc2f587b82a29fec12f046" ns2:_="" ns3:_="">
    <xsd:import namespace="fe7dbb82-34e2-4297-9b20-978783b074cb"/>
    <xsd:import namespace="78f916c6-ecd0-4727-ba67-5a29ec0be12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e7dbb82-34e2-4297-9b20-978783b074c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8f916c6-ecd0-4727-ba67-5a29ec0be12f"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7CA3188-6BBE-42C6-9D61-EC7D5631C8C8}">
  <ds:schemaRefs>
    <ds:schemaRef ds:uri="http://schemas.microsoft.com/DataMashup"/>
  </ds:schemaRefs>
</ds:datastoreItem>
</file>

<file path=customXml/itemProps2.xml><?xml version="1.0" encoding="utf-8"?>
<ds:datastoreItem xmlns:ds="http://schemas.openxmlformats.org/officeDocument/2006/customXml" ds:itemID="{E4B5E491-C847-48EC-B676-37C9570FFEC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e7dbb82-34e2-4297-9b20-978783b074cb"/>
    <ds:schemaRef ds:uri="78f916c6-ecd0-4727-ba67-5a29ec0be12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FAD7847-E045-44B8-AC2B-34F55F11760C}">
  <ds:schemaRefs>
    <ds:schemaRef ds:uri="http://schemas.microsoft.com/sharepoint/v3/contenttype/forms"/>
  </ds:schemaRefs>
</ds:datastoreItem>
</file>

<file path=customXml/itemProps4.xml><?xml version="1.0" encoding="utf-8"?>
<ds:datastoreItem xmlns:ds="http://schemas.openxmlformats.org/officeDocument/2006/customXml" ds:itemID="{A8D51A54-C0D4-4A4E-9586-6BE3371B68E6}">
  <ds:schemaRefs>
    <ds:schemaRef ds:uri="http://schemas.microsoft.com/office/2006/documentManagement/types"/>
    <ds:schemaRef ds:uri="http://schemas.microsoft.com/office/infopath/2007/PartnerControls"/>
    <ds:schemaRef ds:uri="http://purl.org/dc/dcmitype/"/>
    <ds:schemaRef ds:uri="http://schemas.microsoft.com/office/2006/metadata/properties"/>
    <ds:schemaRef ds:uri="http://purl.org/dc/elements/1.1/"/>
    <ds:schemaRef ds:uri="http://purl.org/dc/terms/"/>
    <ds:schemaRef ds:uri="http://schemas.openxmlformats.org/package/2006/metadata/core-properties"/>
    <ds:schemaRef ds:uri="78f916c6-ecd0-4727-ba67-5a29ec0be12f"/>
    <ds:schemaRef ds:uri="fe7dbb82-34e2-4297-9b20-978783b074cb"/>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DISCLAIMER</vt:lpstr>
      <vt:lpstr>Instructions</vt:lpstr>
      <vt:lpstr>Reconciliation (Simplified)</vt:lpstr>
      <vt:lpstr>Reconciliation</vt:lpstr>
      <vt:lpstr>Tariffs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Havvas, Andrew</dc:creator>
  <cp:keywords/>
  <dc:description/>
  <cp:lastModifiedBy>Wootton, Matt</cp:lastModifiedBy>
  <cp:revision/>
  <dcterms:created xsi:type="dcterms:W3CDTF">2019-10-15T16:28:27Z</dcterms:created>
  <dcterms:modified xsi:type="dcterms:W3CDTF">2019-10-24T14:44:57Z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0x010100F2497B4E5F5A734FBB93D4C278CAC184</vt:lpwstr>
  </property>
</Properties>
</file>