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nationalgridplc-my.sharepoint.com/personal/rama_kodukula1_uk_nationalgrid_com/Documents/Desktop/Backup/Guidance Docs/"/>
    </mc:Choice>
  </mc:AlternateContent>
  <xr:revisionPtr revIDLastSave="41" documentId="13_ncr:1_{BD8DC061-0615-4017-A29A-6F36CA5B041B}" xr6:coauthVersionLast="47" xr6:coauthVersionMax="47" xr10:uidLastSave="{B161E227-C104-4428-B3D1-893F2649C8B8}"/>
  <bookViews>
    <workbookView xWindow="-108" yWindow="-108" windowWidth="23256" windowHeight="12576" tabRatio="802" xr2:uid="{00000000-000D-0000-FFFF-FFFF00000000}"/>
  </bookViews>
  <sheets>
    <sheet name="User Input" sheetId="7" r:id="rId1"/>
    <sheet name="Inflation" sheetId="15" r:id="rId2"/>
    <sheet name="Offer Verification" sheetId="9" r:id="rId3"/>
    <sheet name="Forecast Detail" sheetId="6" r:id="rId4"/>
    <sheet name="Forecast Summary" sheetId="14" r:id="rId5"/>
    <sheet name="Forecast Chart" sheetId="13" r:id="rId6"/>
    <sheet name="Data" sheetId="11" r:id="rId7"/>
    <sheet name="GAV Transformation" sheetId="12" r:id="rId8"/>
  </sheets>
  <definedNames>
    <definedName name="_xlnm._FilterDatabase" localSheetId="3" hidden="1">'Forecast Detail'!$N$6:$N$267</definedName>
    <definedName name="Asset">'User Input'!$V$13</definedName>
    <definedName name="Cap_Contrib">'User Input'!$B$11</definedName>
    <definedName name="Option_Cap_Contrib">'User Input'!$B$12</definedName>
    <definedName name="Option_Lookup">'User Input'!$T$8:$T$10</definedName>
    <definedName name="_xlnm.Print_Area" localSheetId="3">'Forecast Detail'!$A$13:$M$172</definedName>
    <definedName name="_xlnm.Print_Area" localSheetId="2">'Offer Verification'!$C$12:$N$16</definedName>
    <definedName name="Start">'User Input'!$T$7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9" l="1"/>
  <c r="B13" i="12"/>
  <c r="C13" i="12" s="1"/>
  <c r="D13" i="12" s="1"/>
  <c r="E13" i="12" s="1"/>
  <c r="F13" i="12" s="1"/>
  <c r="G13" i="12" s="1"/>
  <c r="H13" i="12" s="1"/>
  <c r="I13" i="12" s="1"/>
  <c r="J13" i="12" s="1"/>
  <c r="K13" i="12" s="1"/>
  <c r="L13" i="12" s="1"/>
  <c r="M13" i="12" s="1"/>
  <c r="N13" i="12" s="1"/>
  <c r="O13" i="12" s="1"/>
  <c r="P13" i="12" s="1"/>
  <c r="Q13" i="12" s="1"/>
  <c r="R13" i="12" s="1"/>
  <c r="S13" i="12" s="1"/>
  <c r="T13" i="12" s="1"/>
  <c r="U13" i="12" s="1"/>
  <c r="V13" i="12" s="1"/>
  <c r="W13" i="12" s="1"/>
  <c r="X13" i="12" s="1"/>
  <c r="Y13" i="12" s="1"/>
  <c r="Z13" i="12" s="1"/>
  <c r="AA13" i="12" s="1"/>
  <c r="AB13" i="12" s="1"/>
  <c r="AC13" i="12" s="1"/>
  <c r="AD13" i="12" s="1"/>
  <c r="AE13" i="12" s="1"/>
  <c r="AF13" i="12" s="1"/>
  <c r="AG13" i="12" s="1"/>
  <c r="AH13" i="12" s="1"/>
  <c r="AI13" i="12" s="1"/>
  <c r="AJ13" i="12" s="1"/>
  <c r="AK13" i="12" s="1"/>
  <c r="AL13" i="12" s="1"/>
  <c r="AM13" i="12" s="1"/>
  <c r="AN13" i="12" s="1"/>
  <c r="AO13" i="12" s="1"/>
  <c r="AP13" i="12" s="1"/>
  <c r="AQ13" i="12" s="1"/>
  <c r="AR13" i="12" s="1"/>
  <c r="A15" i="12"/>
  <c r="A14" i="12"/>
  <c r="C244" i="11"/>
  <c r="C243" i="11"/>
  <c r="A244" i="11"/>
  <c r="C7" i="15" l="1"/>
  <c r="V9" i="7" l="1"/>
  <c r="V10" i="7"/>
  <c r="V8" i="7"/>
  <c r="Q19" i="6"/>
  <c r="V13" i="7" l="1"/>
  <c r="B19" i="6" s="1"/>
  <c r="C9" i="7"/>
  <c r="N9" i="7"/>
  <c r="N10" i="7"/>
  <c r="N11" i="7"/>
  <c r="N12" i="7"/>
  <c r="N13" i="7"/>
  <c r="N14" i="7"/>
  <c r="N15" i="7"/>
  <c r="N16" i="7"/>
  <c r="N17" i="7"/>
  <c r="N18" i="7"/>
  <c r="N19" i="7"/>
  <c r="N20" i="7"/>
  <c r="N21" i="7"/>
  <c r="N22" i="7"/>
  <c r="N23" i="7"/>
  <c r="N24" i="7"/>
  <c r="N25" i="7"/>
  <c r="N26" i="7"/>
  <c r="N8" i="7"/>
  <c r="C12" i="6"/>
  <c r="C12" i="7"/>
  <c r="B18" i="7"/>
  <c r="C18" i="7" s="1"/>
  <c r="D9" i="9"/>
  <c r="D56" i="15"/>
  <c r="G56" i="15"/>
  <c r="B20" i="6" l="1"/>
  <c r="B19" i="7"/>
  <c r="C19" i="7" s="1"/>
  <c r="D53" i="15"/>
  <c r="D54" i="15"/>
  <c r="D55" i="15"/>
  <c r="G54" i="15"/>
  <c r="G5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12" i="15"/>
  <c r="G13" i="15"/>
  <c r="G14" i="15"/>
  <c r="G15" i="15"/>
  <c r="G16" i="15"/>
  <c r="G17" i="15"/>
  <c r="G18" i="15"/>
  <c r="G19" i="15"/>
  <c r="G20" i="15"/>
  <c r="G21" i="15"/>
  <c r="G22" i="15"/>
  <c r="G23" i="15"/>
  <c r="G24" i="15"/>
  <c r="G25" i="15"/>
  <c r="G11" i="15"/>
  <c r="G10" i="15"/>
  <c r="H10" i="15" s="1"/>
  <c r="D45" i="15"/>
  <c r="D46" i="15"/>
  <c r="D47" i="15"/>
  <c r="D48" i="15"/>
  <c r="D49" i="15"/>
  <c r="D50" i="15"/>
  <c r="D51" i="15"/>
  <c r="D5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12" i="15"/>
  <c r="D11" i="15"/>
  <c r="B12" i="6"/>
  <c r="H9" i="15" l="1"/>
  <c r="G9" i="15"/>
  <c r="H16" i="15"/>
  <c r="C13" i="6"/>
  <c r="H55" i="15" l="1"/>
  <c r="H42" i="15"/>
  <c r="H38" i="15"/>
  <c r="H28" i="15"/>
  <c r="H50" i="15"/>
  <c r="H52" i="15"/>
  <c r="H44" i="15"/>
  <c r="H40" i="15"/>
  <c r="H17" i="15"/>
  <c r="H48" i="15"/>
  <c r="H37" i="15"/>
  <c r="H30" i="15"/>
  <c r="H24" i="15"/>
  <c r="H35" i="15"/>
  <c r="H43" i="15"/>
  <c r="H29" i="15"/>
  <c r="H14" i="15"/>
  <c r="H25" i="15"/>
  <c r="H21" i="15"/>
  <c r="H13" i="15"/>
  <c r="H49" i="15"/>
  <c r="H12" i="15"/>
  <c r="H22" i="15"/>
  <c r="H20" i="15"/>
  <c r="H32" i="15"/>
  <c r="H46" i="15"/>
  <c r="H54" i="15"/>
  <c r="H19" i="15"/>
  <c r="H41" i="15"/>
  <c r="H45" i="15"/>
  <c r="H39" i="15"/>
  <c r="H18" i="15"/>
  <c r="H56" i="15"/>
  <c r="H11" i="15"/>
  <c r="H53" i="15"/>
  <c r="I10" i="15"/>
  <c r="H15" i="15"/>
  <c r="H33" i="15"/>
  <c r="H23" i="15"/>
  <c r="H36" i="15"/>
  <c r="H34" i="15"/>
  <c r="H51" i="15"/>
  <c r="H26" i="15"/>
  <c r="H31" i="15"/>
  <c r="H47" i="15"/>
  <c r="H27" i="15"/>
  <c r="I47" i="15" l="1"/>
  <c r="I33" i="15"/>
  <c r="I9" i="15"/>
  <c r="I23" i="15"/>
  <c r="I26" i="15"/>
  <c r="I53" i="15"/>
  <c r="I44" i="15"/>
  <c r="I30" i="15"/>
  <c r="I21" i="15"/>
  <c r="I37" i="15"/>
  <c r="I31" i="15"/>
  <c r="I13" i="15"/>
  <c r="I51" i="15"/>
  <c r="I45" i="15"/>
  <c r="I27" i="15"/>
  <c r="I22" i="15"/>
  <c r="I19" i="15"/>
  <c r="I38" i="15"/>
  <c r="I46" i="15"/>
  <c r="I43" i="15"/>
  <c r="I52" i="15"/>
  <c r="I16" i="15"/>
  <c r="I39" i="15"/>
  <c r="I54" i="15"/>
  <c r="I17" i="15"/>
  <c r="I49" i="15"/>
  <c r="I56" i="15"/>
  <c r="I12" i="15"/>
  <c r="I42" i="15"/>
  <c r="I32" i="15"/>
  <c r="I41" i="15"/>
  <c r="I40" i="15"/>
  <c r="I15" i="15"/>
  <c r="I55" i="15"/>
  <c r="I50" i="15"/>
  <c r="I20" i="15"/>
  <c r="I25" i="15"/>
  <c r="I36" i="15"/>
  <c r="I28" i="15"/>
  <c r="I35" i="15"/>
  <c r="I14" i="15"/>
  <c r="I11" i="15"/>
  <c r="I18" i="15"/>
  <c r="I34" i="15"/>
  <c r="I24" i="15"/>
  <c r="I48" i="15"/>
  <c r="I29" i="15"/>
  <c r="J10" i="15"/>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A208" i="11"/>
  <c r="A211" i="11" s="1"/>
  <c r="A214" i="11" s="1"/>
  <c r="A217" i="11" s="1"/>
  <c r="A220" i="11" s="1"/>
  <c r="A223" i="11" s="1"/>
  <c r="A226" i="11" s="1"/>
  <c r="A229" i="11" s="1"/>
  <c r="A232" i="11" s="1"/>
  <c r="A235" i="11" s="1"/>
  <c r="A238" i="11" s="1"/>
  <c r="A241" i="11" s="1"/>
  <c r="A209" i="11"/>
  <c r="A210" i="11"/>
  <c r="A213" i="11" s="1"/>
  <c r="A216" i="11" s="1"/>
  <c r="A219" i="11" s="1"/>
  <c r="A222" i="11" s="1"/>
  <c r="A225" i="11" s="1"/>
  <c r="A228" i="11" s="1"/>
  <c r="A231" i="11" s="1"/>
  <c r="A234" i="11" s="1"/>
  <c r="A237" i="11" s="1"/>
  <c r="A240" i="11" s="1"/>
  <c r="A243" i="11" s="1"/>
  <c r="A212" i="11"/>
  <c r="A215" i="11"/>
  <c r="A218" i="11" s="1"/>
  <c r="A221" i="11" s="1"/>
  <c r="A224" i="11" s="1"/>
  <c r="A227" i="11" s="1"/>
  <c r="A230" i="11" s="1"/>
  <c r="A233" i="11" s="1"/>
  <c r="A236" i="11" s="1"/>
  <c r="A239" i="11" s="1"/>
  <c r="A242" i="11" s="1"/>
  <c r="A184" i="11"/>
  <c r="A187" i="11" s="1"/>
  <c r="A190" i="11" s="1"/>
  <c r="A193" i="11" s="1"/>
  <c r="A196" i="11" s="1"/>
  <c r="A199" i="11" s="1"/>
  <c r="A202" i="11" s="1"/>
  <c r="A205" i="11" s="1"/>
  <c r="A185" i="11"/>
  <c r="A188" i="11" s="1"/>
  <c r="A191" i="11" s="1"/>
  <c r="A194" i="11" s="1"/>
  <c r="A197" i="11" s="1"/>
  <c r="A200" i="11" s="1"/>
  <c r="A203" i="11" s="1"/>
  <c r="A206" i="11" s="1"/>
  <c r="A186" i="11"/>
  <c r="A189" i="11"/>
  <c r="A192" i="11"/>
  <c r="A195" i="11" s="1"/>
  <c r="A198" i="11" s="1"/>
  <c r="A201" i="11" s="1"/>
  <c r="A204" i="11" s="1"/>
  <c r="A207" i="11" s="1"/>
  <c r="A136" i="11"/>
  <c r="A139" i="11" s="1"/>
  <c r="A142" i="11" s="1"/>
  <c r="A145" i="11" s="1"/>
  <c r="A148" i="11" s="1"/>
  <c r="A151" i="11" s="1"/>
  <c r="A154" i="11" s="1"/>
  <c r="A157" i="11" s="1"/>
  <c r="A160" i="11" s="1"/>
  <c r="A163" i="11" s="1"/>
  <c r="A166" i="11" s="1"/>
  <c r="A169" i="11" s="1"/>
  <c r="A172" i="11" s="1"/>
  <c r="A175" i="11" s="1"/>
  <c r="A178" i="11" s="1"/>
  <c r="A181" i="11" s="1"/>
  <c r="A137" i="11"/>
  <c r="A140" i="11" s="1"/>
  <c r="A143" i="11" s="1"/>
  <c r="A146" i="11" s="1"/>
  <c r="A149" i="11" s="1"/>
  <c r="A152" i="11" s="1"/>
  <c r="A155" i="11" s="1"/>
  <c r="A158" i="11" s="1"/>
  <c r="A161" i="11" s="1"/>
  <c r="A164" i="11" s="1"/>
  <c r="A167" i="11" s="1"/>
  <c r="A170" i="11" s="1"/>
  <c r="A173" i="11" s="1"/>
  <c r="A176" i="11" s="1"/>
  <c r="A179" i="11" s="1"/>
  <c r="A182" i="11" s="1"/>
  <c r="A138" i="11"/>
  <c r="A141" i="11" s="1"/>
  <c r="A144" i="11" s="1"/>
  <c r="A147" i="11" s="1"/>
  <c r="A150" i="11" s="1"/>
  <c r="A153" i="11" s="1"/>
  <c r="A156" i="11" s="1"/>
  <c r="A159" i="11" s="1"/>
  <c r="A162" i="11" s="1"/>
  <c r="A165" i="11" s="1"/>
  <c r="A168" i="11" s="1"/>
  <c r="A171" i="11" s="1"/>
  <c r="A174" i="11" s="1"/>
  <c r="A177" i="11" s="1"/>
  <c r="A180" i="11" s="1"/>
  <c r="A183" i="11" s="1"/>
  <c r="A6" i="11"/>
  <c r="A9" i="11" s="1"/>
  <c r="A12" i="11" s="1"/>
  <c r="A15" i="11" s="1"/>
  <c r="A18" i="11" s="1"/>
  <c r="A21" i="11" s="1"/>
  <c r="A24" i="11" s="1"/>
  <c r="A27" i="11" s="1"/>
  <c r="A30" i="11" s="1"/>
  <c r="A33" i="11" s="1"/>
  <c r="A36" i="11" s="1"/>
  <c r="A39" i="11" s="1"/>
  <c r="A42" i="11" s="1"/>
  <c r="A45" i="11" s="1"/>
  <c r="A48" i="11" s="1"/>
  <c r="A51" i="11" s="1"/>
  <c r="A54" i="11" s="1"/>
  <c r="A57" i="11" s="1"/>
  <c r="A60" i="11" s="1"/>
  <c r="A63" i="11" s="1"/>
  <c r="A66" i="11" s="1"/>
  <c r="A69" i="11" s="1"/>
  <c r="A72" i="11" s="1"/>
  <c r="A75" i="11" s="1"/>
  <c r="A78" i="11" s="1"/>
  <c r="A81" i="11" s="1"/>
  <c r="A84" i="11" s="1"/>
  <c r="A87" i="11" s="1"/>
  <c r="A90" i="11" s="1"/>
  <c r="A93" i="11" s="1"/>
  <c r="A96" i="11" s="1"/>
  <c r="A99" i="11" s="1"/>
  <c r="A102" i="11" s="1"/>
  <c r="A105" i="11" s="1"/>
  <c r="A108" i="11" s="1"/>
  <c r="A111" i="11" s="1"/>
  <c r="A114" i="11" s="1"/>
  <c r="A117" i="11" s="1"/>
  <c r="A120" i="11" s="1"/>
  <c r="A123" i="11" s="1"/>
  <c r="A126" i="11" s="1"/>
  <c r="A129" i="11" s="1"/>
  <c r="A132" i="11" s="1"/>
  <c r="A135" i="11" s="1"/>
  <c r="A7" i="11"/>
  <c r="A8" i="11"/>
  <c r="A10" i="11"/>
  <c r="A11" i="11"/>
  <c r="A14" i="11" s="1"/>
  <c r="A17" i="11" s="1"/>
  <c r="A20" i="11" s="1"/>
  <c r="A23" i="11" s="1"/>
  <c r="A26" i="11" s="1"/>
  <c r="A29" i="11" s="1"/>
  <c r="A32" i="11" s="1"/>
  <c r="A35" i="11" s="1"/>
  <c r="A38" i="11" s="1"/>
  <c r="A41" i="11" s="1"/>
  <c r="A44" i="11" s="1"/>
  <c r="A47" i="11" s="1"/>
  <c r="A50" i="11" s="1"/>
  <c r="A53" i="11" s="1"/>
  <c r="A56" i="11" s="1"/>
  <c r="A59" i="11" s="1"/>
  <c r="A62" i="11" s="1"/>
  <c r="A65" i="11" s="1"/>
  <c r="A68" i="11" s="1"/>
  <c r="A71" i="11" s="1"/>
  <c r="A74" i="11" s="1"/>
  <c r="A77" i="11" s="1"/>
  <c r="A80" i="11" s="1"/>
  <c r="A83" i="11" s="1"/>
  <c r="A86" i="11" s="1"/>
  <c r="A89" i="11" s="1"/>
  <c r="A92" i="11" s="1"/>
  <c r="A95" i="11" s="1"/>
  <c r="A98" i="11" s="1"/>
  <c r="A101" i="11" s="1"/>
  <c r="A104" i="11" s="1"/>
  <c r="A107" i="11" s="1"/>
  <c r="A110" i="11" s="1"/>
  <c r="A113" i="11" s="1"/>
  <c r="A116" i="11" s="1"/>
  <c r="A119" i="11" s="1"/>
  <c r="A122" i="11" s="1"/>
  <c r="A125" i="11" s="1"/>
  <c r="A128" i="11" s="1"/>
  <c r="A131" i="11" s="1"/>
  <c r="A134" i="11" s="1"/>
  <c r="A13" i="11"/>
  <c r="A16" i="11" s="1"/>
  <c r="A19" i="11" s="1"/>
  <c r="A22" i="11" s="1"/>
  <c r="A25" i="11" s="1"/>
  <c r="A28" i="11" s="1"/>
  <c r="A31" i="11" s="1"/>
  <c r="A34" i="11" s="1"/>
  <c r="A37" i="11" s="1"/>
  <c r="A40" i="11" s="1"/>
  <c r="A43" i="11" s="1"/>
  <c r="A46" i="11" s="1"/>
  <c r="A49" i="11" s="1"/>
  <c r="A52" i="11" s="1"/>
  <c r="A55" i="11" s="1"/>
  <c r="A58" i="11" s="1"/>
  <c r="A61" i="11" s="1"/>
  <c r="A64" i="11" s="1"/>
  <c r="A67" i="11" s="1"/>
  <c r="A70" i="11" s="1"/>
  <c r="A73" i="11" s="1"/>
  <c r="A76" i="11" s="1"/>
  <c r="A79" i="11" s="1"/>
  <c r="A82" i="11" s="1"/>
  <c r="A85" i="11" s="1"/>
  <c r="A88" i="11" s="1"/>
  <c r="A91" i="11" s="1"/>
  <c r="A94" i="11" s="1"/>
  <c r="A97" i="11" s="1"/>
  <c r="A100" i="11" s="1"/>
  <c r="A103" i="11" s="1"/>
  <c r="A106" i="11" s="1"/>
  <c r="A109" i="11" s="1"/>
  <c r="A112" i="11" s="1"/>
  <c r="A115" i="11" s="1"/>
  <c r="A118" i="11" s="1"/>
  <c r="A121" i="11" s="1"/>
  <c r="A124" i="11" s="1"/>
  <c r="A127" i="11" s="1"/>
  <c r="A130" i="11" s="1"/>
  <c r="A133" i="11" s="1"/>
  <c r="A5" i="11"/>
  <c r="C2" i="11"/>
  <c r="C9" i="6"/>
  <c r="C10" i="6" s="1"/>
  <c r="J17" i="6" s="1"/>
  <c r="C7" i="6"/>
  <c r="C8" i="6" s="1"/>
  <c r="C6" i="6"/>
  <c r="J21" i="15" l="1"/>
  <c r="J54" i="15"/>
  <c r="J55" i="15"/>
  <c r="J50" i="15"/>
  <c r="J28" i="15"/>
  <c r="J38" i="15"/>
  <c r="J35" i="15"/>
  <c r="J40" i="15"/>
  <c r="J18" i="15"/>
  <c r="J46" i="15"/>
  <c r="J39" i="15"/>
  <c r="J34" i="15"/>
  <c r="J11" i="15"/>
  <c r="H23" i="6"/>
  <c r="H29" i="6"/>
  <c r="H35" i="6"/>
  <c r="H17" i="6"/>
  <c r="J23" i="15"/>
  <c r="J33" i="15"/>
  <c r="J42" i="15"/>
  <c r="J41" i="15"/>
  <c r="J25" i="15"/>
  <c r="J16" i="15"/>
  <c r="J30" i="15"/>
  <c r="J51" i="15"/>
  <c r="J32" i="15"/>
  <c r="J17" i="15"/>
  <c r="J48" i="15"/>
  <c r="J47" i="15"/>
  <c r="J29" i="15"/>
  <c r="J12" i="15"/>
  <c r="K10" i="15"/>
  <c r="J53" i="15"/>
  <c r="J45" i="15"/>
  <c r="J14" i="15"/>
  <c r="J37" i="15"/>
  <c r="J36" i="15"/>
  <c r="J52" i="15"/>
  <c r="J44" i="15"/>
  <c r="J9" i="15"/>
  <c r="J26" i="15"/>
  <c r="J13" i="15"/>
  <c r="J56" i="15"/>
  <c r="J49" i="15"/>
  <c r="K49" i="15" s="1"/>
  <c r="J20" i="15"/>
  <c r="J24" i="15"/>
  <c r="K24" i="15" s="1"/>
  <c r="J15" i="15"/>
  <c r="J31" i="15"/>
  <c r="J19" i="15"/>
  <c r="J27" i="15"/>
  <c r="J43" i="15"/>
  <c r="J22" i="15"/>
  <c r="E17" i="6"/>
  <c r="H233" i="6"/>
  <c r="H227" i="6"/>
  <c r="H215" i="6"/>
  <c r="H167" i="6"/>
  <c r="H119" i="6"/>
  <c r="H71" i="6"/>
  <c r="H209" i="6"/>
  <c r="H161" i="6"/>
  <c r="H113" i="6"/>
  <c r="H65" i="6"/>
  <c r="H221" i="6"/>
  <c r="H77" i="6"/>
  <c r="H257" i="6"/>
  <c r="H251" i="6"/>
  <c r="H203" i="6"/>
  <c r="H155" i="6"/>
  <c r="H107" i="6"/>
  <c r="H59" i="6"/>
  <c r="H245" i="6"/>
  <c r="H197" i="6"/>
  <c r="H149" i="6"/>
  <c r="H101" i="6"/>
  <c r="H53" i="6"/>
  <c r="H191" i="6"/>
  <c r="H143" i="6"/>
  <c r="H95" i="6"/>
  <c r="H47" i="6"/>
  <c r="H185" i="6"/>
  <c r="H137" i="6"/>
  <c r="H41" i="6"/>
  <c r="H179" i="6"/>
  <c r="H131" i="6"/>
  <c r="H83" i="6"/>
  <c r="H173" i="6"/>
  <c r="H125" i="6"/>
  <c r="H89" i="6"/>
  <c r="H239" i="6"/>
  <c r="H263" i="6"/>
  <c r="D7" i="9"/>
  <c r="C8" i="7"/>
  <c r="C14" i="7"/>
  <c r="C13" i="7"/>
  <c r="C11" i="7"/>
  <c r="E20" i="9"/>
  <c r="E19" i="9"/>
  <c r="E18" i="9"/>
  <c r="E17" i="9"/>
  <c r="E16" i="9"/>
  <c r="E15" i="9"/>
  <c r="K28" i="15" l="1"/>
  <c r="K37" i="15"/>
  <c r="K42" i="15"/>
  <c r="K11" i="15"/>
  <c r="K27" i="15"/>
  <c r="K38" i="15"/>
  <c r="K40" i="15"/>
  <c r="K55" i="15"/>
  <c r="K56" i="15"/>
  <c r="K9" i="15"/>
  <c r="K29" i="15"/>
  <c r="K26" i="15"/>
  <c r="K22" i="15"/>
  <c r="K21" i="15"/>
  <c r="K43" i="15"/>
  <c r="K17" i="15"/>
  <c r="K31" i="15"/>
  <c r="K32" i="15"/>
  <c r="K46" i="15"/>
  <c r="K19" i="15"/>
  <c r="K51" i="15"/>
  <c r="K14" i="15"/>
  <c r="K35" i="15"/>
  <c r="K45" i="15"/>
  <c r="K25" i="15"/>
  <c r="K30" i="15"/>
  <c r="K13" i="15"/>
  <c r="K23" i="15"/>
  <c r="K54" i="15"/>
  <c r="K20" i="15"/>
  <c r="K47" i="15"/>
  <c r="K48" i="15"/>
  <c r="K52" i="15"/>
  <c r="K44" i="15"/>
  <c r="L10" i="15"/>
  <c r="K36" i="15"/>
  <c r="K34" i="15"/>
  <c r="K50" i="15"/>
  <c r="K15" i="15"/>
  <c r="K16" i="15"/>
  <c r="K41" i="15"/>
  <c r="K53" i="15"/>
  <c r="K18" i="15"/>
  <c r="K33" i="15"/>
  <c r="K39" i="15"/>
  <c r="K12" i="15"/>
  <c r="L11" i="15" l="1"/>
  <c r="L36" i="15"/>
  <c r="L45" i="15"/>
  <c r="L26" i="15"/>
  <c r="L35" i="15"/>
  <c r="L19" i="15"/>
  <c r="L15" i="15"/>
  <c r="L16" i="15"/>
  <c r="L23" i="15"/>
  <c r="L33" i="15"/>
  <c r="L12" i="15"/>
  <c r="L14" i="15"/>
  <c r="L39" i="15"/>
  <c r="L51" i="15"/>
  <c r="L46" i="15"/>
  <c r="L56" i="15"/>
  <c r="L48" i="15"/>
  <c r="L55" i="15"/>
  <c r="L47" i="15"/>
  <c r="L32" i="15"/>
  <c r="L37" i="15"/>
  <c r="L31" i="15"/>
  <c r="L30" i="15"/>
  <c r="L44" i="15"/>
  <c r="L54" i="15"/>
  <c r="L50" i="15"/>
  <c r="L18" i="15"/>
  <c r="L52" i="15"/>
  <c r="L53" i="15"/>
  <c r="L20" i="15"/>
  <c r="L40" i="15"/>
  <c r="L24" i="15"/>
  <c r="L17" i="15"/>
  <c r="L38" i="15"/>
  <c r="L34" i="15"/>
  <c r="M10" i="15"/>
  <c r="L9" i="15"/>
  <c r="L42" i="15"/>
  <c r="L41" i="15"/>
  <c r="L43" i="15"/>
  <c r="L28" i="15"/>
  <c r="L25" i="15"/>
  <c r="L27" i="15"/>
  <c r="L21" i="15"/>
  <c r="L49" i="15"/>
  <c r="L22" i="15"/>
  <c r="L29" i="15"/>
  <c r="L13" i="15"/>
  <c r="D10" i="9"/>
  <c r="D11" i="9"/>
  <c r="D8" i="9"/>
  <c r="I13" i="9" s="1"/>
  <c r="M51" i="15" l="1"/>
  <c r="M29" i="15"/>
  <c r="M26" i="15"/>
  <c r="M34" i="15"/>
  <c r="M42" i="15"/>
  <c r="M50" i="15"/>
  <c r="M9" i="15"/>
  <c r="M54" i="15"/>
  <c r="M13" i="15"/>
  <c r="M48" i="15"/>
  <c r="M47" i="15"/>
  <c r="M27" i="15"/>
  <c r="M40" i="15"/>
  <c r="M20" i="15"/>
  <c r="M17" i="15"/>
  <c r="M21" i="15"/>
  <c r="M24" i="15"/>
  <c r="M11" i="15"/>
  <c r="M53" i="15"/>
  <c r="M16" i="15"/>
  <c r="M56" i="15"/>
  <c r="M45" i="15"/>
  <c r="N45" i="15" s="1"/>
  <c r="M41" i="15"/>
  <c r="M18" i="15"/>
  <c r="M23" i="15"/>
  <c r="M15" i="15"/>
  <c r="M44" i="15"/>
  <c r="M30" i="15"/>
  <c r="M38" i="15"/>
  <c r="M37" i="15"/>
  <c r="M12" i="15"/>
  <c r="M22" i="15"/>
  <c r="N10" i="15"/>
  <c r="M46" i="15"/>
  <c r="N46" i="15" s="1"/>
  <c r="M25" i="15"/>
  <c r="M55" i="15"/>
  <c r="M32" i="15"/>
  <c r="M49" i="15"/>
  <c r="M28" i="15"/>
  <c r="M43" i="15"/>
  <c r="M35" i="15"/>
  <c r="M52" i="15"/>
  <c r="M33" i="15"/>
  <c r="M31" i="15"/>
  <c r="M19" i="15"/>
  <c r="N19" i="15" s="1"/>
  <c r="M39" i="15"/>
  <c r="N39" i="15" s="1"/>
  <c r="M36" i="15"/>
  <c r="M14" i="15"/>
  <c r="A16" i="9"/>
  <c r="A15" i="9"/>
  <c r="A18" i="9"/>
  <c r="A17" i="9"/>
  <c r="A20" i="9"/>
  <c r="A19" i="9"/>
  <c r="C23" i="12"/>
  <c r="C33" i="12" s="1"/>
  <c r="F20" i="9" s="1"/>
  <c r="C22" i="12"/>
  <c r="C32" i="12" s="1"/>
  <c r="F19" i="9" s="1"/>
  <c r="A10" i="12"/>
  <c r="A9" i="12"/>
  <c r="B2" i="12"/>
  <c r="A3" i="12"/>
  <c r="A4" i="12"/>
  <c r="C39" i="12" l="1"/>
  <c r="F15" i="9" s="1"/>
  <c r="H16" i="9"/>
  <c r="C40" i="12"/>
  <c r="F16" i="9" s="1"/>
  <c r="E20" i="15"/>
  <c r="E31" i="15"/>
  <c r="E34" i="15"/>
  <c r="N51" i="15"/>
  <c r="E18" i="15"/>
  <c r="E28" i="15"/>
  <c r="E48" i="15"/>
  <c r="E17" i="15"/>
  <c r="E37" i="15"/>
  <c r="E19" i="15"/>
  <c r="N56" i="15"/>
  <c r="N53" i="15"/>
  <c r="N20" i="15"/>
  <c r="N29" i="15"/>
  <c r="N23" i="15"/>
  <c r="N32" i="15"/>
  <c r="N18" i="15"/>
  <c r="N52" i="15"/>
  <c r="O10" i="15"/>
  <c r="N42" i="15"/>
  <c r="O42" i="15" s="1"/>
  <c r="N49" i="15"/>
  <c r="O49" i="15" s="1"/>
  <c r="N14" i="15"/>
  <c r="N55" i="15"/>
  <c r="N36" i="15"/>
  <c r="N25" i="15"/>
  <c r="N26" i="15"/>
  <c r="N33" i="15"/>
  <c r="N35" i="15"/>
  <c r="N48" i="15"/>
  <c r="N30" i="15"/>
  <c r="O30" i="15" s="1"/>
  <c r="N31" i="15"/>
  <c r="O31" i="15" s="1"/>
  <c r="N16" i="15"/>
  <c r="N22" i="15"/>
  <c r="N13" i="15"/>
  <c r="N41" i="15"/>
  <c r="N50" i="15"/>
  <c r="N44" i="15"/>
  <c r="N34" i="15"/>
  <c r="N21" i="15"/>
  <c r="N12" i="15"/>
  <c r="N54" i="15"/>
  <c r="N37" i="15"/>
  <c r="O37" i="15" s="1"/>
  <c r="N24" i="15"/>
  <c r="O24" i="15" s="1"/>
  <c r="N27" i="15"/>
  <c r="N40" i="15"/>
  <c r="N11" i="15"/>
  <c r="N17" i="15"/>
  <c r="N43" i="15"/>
  <c r="N47" i="15"/>
  <c r="N15" i="15"/>
  <c r="N9" i="15"/>
  <c r="N28" i="15"/>
  <c r="N38" i="15"/>
  <c r="O45" i="15"/>
  <c r="B8" i="12"/>
  <c r="C8" i="12" s="1"/>
  <c r="D8" i="12" s="1"/>
  <c r="E8" i="12" s="1"/>
  <c r="F8" i="12" s="1"/>
  <c r="G8" i="12" s="1"/>
  <c r="H8" i="12" s="1"/>
  <c r="I8" i="12" s="1"/>
  <c r="J8" i="12" s="1"/>
  <c r="K8" i="12" s="1"/>
  <c r="L8" i="12" s="1"/>
  <c r="M8" i="12" s="1"/>
  <c r="N8" i="12" s="1"/>
  <c r="O8" i="12" s="1"/>
  <c r="P8" i="12" s="1"/>
  <c r="Q8" i="12" s="1"/>
  <c r="R8" i="12" s="1"/>
  <c r="S8" i="12" s="1"/>
  <c r="T8" i="12" s="1"/>
  <c r="U8" i="12" s="1"/>
  <c r="V8" i="12" s="1"/>
  <c r="W8" i="12" s="1"/>
  <c r="X8" i="12" s="1"/>
  <c r="Y8" i="12" s="1"/>
  <c r="Z8" i="12" s="1"/>
  <c r="AA8" i="12" s="1"/>
  <c r="AB8" i="12" s="1"/>
  <c r="AC8" i="12" s="1"/>
  <c r="AD8" i="12" s="1"/>
  <c r="AE8" i="12" s="1"/>
  <c r="AF8" i="12" s="1"/>
  <c r="AG8" i="12" s="1"/>
  <c r="AH8" i="12" s="1"/>
  <c r="AI8" i="12" s="1"/>
  <c r="AJ8" i="12" s="1"/>
  <c r="AK8" i="12" s="1"/>
  <c r="AL8" i="12" s="1"/>
  <c r="AM8" i="12" s="1"/>
  <c r="AN8" i="12" s="1"/>
  <c r="AO8" i="12" s="1"/>
  <c r="AP8" i="12" s="1"/>
  <c r="AQ8" i="12" s="1"/>
  <c r="AR8" i="12" s="1"/>
  <c r="H20" i="9"/>
  <c r="C24" i="12"/>
  <c r="B9" i="12" l="1"/>
  <c r="B10" i="12"/>
  <c r="O48" i="15"/>
  <c r="O9" i="15"/>
  <c r="E53" i="15"/>
  <c r="E43" i="15"/>
  <c r="E51" i="15"/>
  <c r="E33" i="15"/>
  <c r="E30" i="15"/>
  <c r="E32" i="15"/>
  <c r="E24" i="15"/>
  <c r="E35" i="15"/>
  <c r="E27" i="15"/>
  <c r="E42" i="15"/>
  <c r="E16" i="15"/>
  <c r="E49" i="15"/>
  <c r="E40" i="15"/>
  <c r="E25" i="15"/>
  <c r="E15" i="15"/>
  <c r="E26" i="15"/>
  <c r="E39" i="15"/>
  <c r="E14" i="15"/>
  <c r="E36" i="15"/>
  <c r="E52" i="15"/>
  <c r="E21" i="15"/>
  <c r="E45" i="15"/>
  <c r="E55" i="15"/>
  <c r="E47" i="15"/>
  <c r="O20" i="15"/>
  <c r="E29" i="15"/>
  <c r="E22" i="15"/>
  <c r="E44" i="15"/>
  <c r="E56" i="15"/>
  <c r="E38" i="15"/>
  <c r="E41" i="15"/>
  <c r="E54" i="15"/>
  <c r="E23" i="15"/>
  <c r="E50" i="15"/>
  <c r="O36" i="15"/>
  <c r="O40" i="15"/>
  <c r="O22" i="15"/>
  <c r="O55" i="15"/>
  <c r="O26" i="15"/>
  <c r="O27" i="15"/>
  <c r="O16" i="15"/>
  <c r="O14" i="15"/>
  <c r="O52" i="15"/>
  <c r="O35" i="15"/>
  <c r="O33" i="15"/>
  <c r="O17" i="15"/>
  <c r="C9" i="12"/>
  <c r="O32" i="15"/>
  <c r="O54" i="15"/>
  <c r="O21" i="15"/>
  <c r="O23" i="15"/>
  <c r="O38" i="15"/>
  <c r="O18" i="15"/>
  <c r="O19" i="15"/>
  <c r="O28" i="15"/>
  <c r="O15" i="15"/>
  <c r="O47" i="15"/>
  <c r="O39" i="15"/>
  <c r="O50" i="15"/>
  <c r="O29" i="15"/>
  <c r="O12" i="15"/>
  <c r="E12" i="15" s="1"/>
  <c r="O25" i="15"/>
  <c r="O34" i="15"/>
  <c r="O53" i="15"/>
  <c r="O44" i="15"/>
  <c r="O51" i="15"/>
  <c r="O43" i="15"/>
  <c r="O46" i="15"/>
  <c r="E46" i="15" s="1"/>
  <c r="O56" i="15"/>
  <c r="O41" i="15"/>
  <c r="O11" i="15"/>
  <c r="E11" i="15" s="1"/>
  <c r="O13" i="15"/>
  <c r="E13" i="15" s="1"/>
  <c r="J15" i="9"/>
  <c r="H15" i="9"/>
  <c r="I15" i="9" s="1"/>
  <c r="H19" i="9"/>
  <c r="H18" i="9"/>
  <c r="B4" i="12"/>
  <c r="B15" i="12" s="1"/>
  <c r="C15" i="12" s="1"/>
  <c r="D15" i="12" s="1"/>
  <c r="E15" i="12" s="1"/>
  <c r="F15" i="12" s="1"/>
  <c r="G15" i="12" s="1"/>
  <c r="H15" i="12" s="1"/>
  <c r="I15" i="12" s="1"/>
  <c r="J15" i="12" s="1"/>
  <c r="K15" i="12" s="1"/>
  <c r="L15" i="12" s="1"/>
  <c r="M15" i="12" s="1"/>
  <c r="N15" i="12" s="1"/>
  <c r="O15" i="12" s="1"/>
  <c r="P15" i="12" s="1"/>
  <c r="Q15" i="12" s="1"/>
  <c r="R15" i="12" s="1"/>
  <c r="S15" i="12" s="1"/>
  <c r="T15" i="12" s="1"/>
  <c r="U15" i="12" s="1"/>
  <c r="V15" i="12" s="1"/>
  <c r="W15" i="12" s="1"/>
  <c r="X15" i="12" s="1"/>
  <c r="Y15" i="12" s="1"/>
  <c r="Z15" i="12" s="1"/>
  <c r="AA15" i="12" s="1"/>
  <c r="AB15" i="12" s="1"/>
  <c r="AC15" i="12" s="1"/>
  <c r="AD15" i="12" s="1"/>
  <c r="AE15" i="12" s="1"/>
  <c r="AF15" i="12" s="1"/>
  <c r="AG15" i="12" s="1"/>
  <c r="AH15" i="12" s="1"/>
  <c r="AI15" i="12" s="1"/>
  <c r="AJ15" i="12" s="1"/>
  <c r="AK15" i="12" s="1"/>
  <c r="AL15" i="12" s="1"/>
  <c r="AM15" i="12" s="1"/>
  <c r="AN15" i="12" s="1"/>
  <c r="AO15" i="12" s="1"/>
  <c r="AP15" i="12" s="1"/>
  <c r="AQ15" i="12" s="1"/>
  <c r="AR15" i="12" s="1"/>
  <c r="G20" i="9"/>
  <c r="G19" i="9"/>
  <c r="C34" i="12"/>
  <c r="B3" i="12"/>
  <c r="C41" i="12"/>
  <c r="F17" i="9" s="1"/>
  <c r="H17" i="9" s="1"/>
  <c r="B14" i="12" l="1"/>
  <c r="C14" i="12" s="1"/>
  <c r="D14" i="12" s="1"/>
  <c r="E14" i="12" s="1"/>
  <c r="F14" i="12" s="1"/>
  <c r="G18" i="9"/>
  <c r="G16" i="9"/>
  <c r="J16" i="9"/>
  <c r="G17" i="9"/>
  <c r="G15" i="9"/>
  <c r="D2" i="13"/>
  <c r="E2" i="13"/>
  <c r="F2" i="13"/>
  <c r="G2" i="13"/>
  <c r="H2" i="13"/>
  <c r="I2" i="13"/>
  <c r="J2" i="13"/>
  <c r="K2" i="13"/>
  <c r="L2" i="13"/>
  <c r="M2" i="13"/>
  <c r="N2" i="13"/>
  <c r="O2" i="13"/>
  <c r="P2" i="13"/>
  <c r="Q2" i="13"/>
  <c r="R2" i="13"/>
  <c r="S2" i="13"/>
  <c r="T2" i="13"/>
  <c r="U2" i="13"/>
  <c r="V2" i="13"/>
  <c r="W2" i="13"/>
  <c r="X2" i="13"/>
  <c r="Y2" i="13"/>
  <c r="Z2" i="13"/>
  <c r="AA2" i="13"/>
  <c r="AB2" i="13"/>
  <c r="AC2" i="13"/>
  <c r="AD2" i="13"/>
  <c r="AE2" i="13"/>
  <c r="AF2" i="13"/>
  <c r="AG2" i="13"/>
  <c r="AH2" i="13"/>
  <c r="AI2" i="13"/>
  <c r="AJ2" i="13"/>
  <c r="AK2" i="13"/>
  <c r="AL2" i="13"/>
  <c r="AM2" i="13"/>
  <c r="AN2" i="13"/>
  <c r="AO2" i="13"/>
  <c r="AP2" i="13"/>
  <c r="AQ2" i="13"/>
  <c r="C2" i="13"/>
  <c r="A21" i="12"/>
  <c r="B21" i="12"/>
  <c r="B31" i="12" s="1"/>
  <c r="C21" i="12"/>
  <c r="C31" i="12" s="1"/>
  <c r="C38" i="12" s="1"/>
  <c r="A22" i="12"/>
  <c r="B22" i="12"/>
  <c r="B32" i="12" s="1"/>
  <c r="A23" i="12"/>
  <c r="A20" i="6"/>
  <c r="A19" i="6"/>
  <c r="N28" i="6"/>
  <c r="N34" i="6" s="1"/>
  <c r="N40" i="6" s="1"/>
  <c r="N46" i="6" s="1"/>
  <c r="N52" i="6" s="1"/>
  <c r="N58" i="6" s="1"/>
  <c r="N64" i="6" s="1"/>
  <c r="N70" i="6" s="1"/>
  <c r="N76" i="6" s="1"/>
  <c r="N82" i="6" s="1"/>
  <c r="N88" i="6" s="1"/>
  <c r="N94" i="6" s="1"/>
  <c r="N100" i="6" s="1"/>
  <c r="N106" i="6" s="1"/>
  <c r="N112" i="6" s="1"/>
  <c r="N118" i="6" s="1"/>
  <c r="N124" i="6" s="1"/>
  <c r="N130" i="6" s="1"/>
  <c r="N136" i="6" s="1"/>
  <c r="N142" i="6" s="1"/>
  <c r="N148" i="6" s="1"/>
  <c r="N154" i="6" s="1"/>
  <c r="N160" i="6" s="1"/>
  <c r="N166" i="6" s="1"/>
  <c r="N172" i="6" s="1"/>
  <c r="N178" i="6" s="1"/>
  <c r="N184" i="6" s="1"/>
  <c r="N190" i="6" s="1"/>
  <c r="N196" i="6" s="1"/>
  <c r="N202" i="6" s="1"/>
  <c r="N208" i="6" s="1"/>
  <c r="N214" i="6" s="1"/>
  <c r="N220" i="6" s="1"/>
  <c r="N226" i="6" s="1"/>
  <c r="N232" i="6" s="1"/>
  <c r="N238" i="6" s="1"/>
  <c r="N244" i="6" s="1"/>
  <c r="N250" i="6" s="1"/>
  <c r="N256" i="6" s="1"/>
  <c r="N262" i="6" s="1"/>
  <c r="N267" i="6" s="1"/>
  <c r="N29" i="6"/>
  <c r="N35" i="6" s="1"/>
  <c r="N41" i="6" s="1"/>
  <c r="N47" i="6" s="1"/>
  <c r="N53" i="6" s="1"/>
  <c r="N59" i="6" s="1"/>
  <c r="N65" i="6" s="1"/>
  <c r="N71" i="6" s="1"/>
  <c r="N77" i="6" s="1"/>
  <c r="N83" i="6" s="1"/>
  <c r="N89" i="6" s="1"/>
  <c r="N95" i="6" s="1"/>
  <c r="N101" i="6" s="1"/>
  <c r="N107" i="6" s="1"/>
  <c r="N113" i="6" s="1"/>
  <c r="N119" i="6" s="1"/>
  <c r="N125" i="6" s="1"/>
  <c r="N131" i="6" s="1"/>
  <c r="N137" i="6" s="1"/>
  <c r="N143" i="6" s="1"/>
  <c r="N149" i="6" s="1"/>
  <c r="N155" i="6" s="1"/>
  <c r="N161" i="6" s="1"/>
  <c r="N167" i="6" s="1"/>
  <c r="N173" i="6" s="1"/>
  <c r="N179" i="6" s="1"/>
  <c r="N185" i="6" s="1"/>
  <c r="N191" i="6" s="1"/>
  <c r="N197" i="6" s="1"/>
  <c r="N203" i="6" s="1"/>
  <c r="N209" i="6" s="1"/>
  <c r="N215" i="6" s="1"/>
  <c r="N221" i="6" s="1"/>
  <c r="N227" i="6" s="1"/>
  <c r="N233" i="6" s="1"/>
  <c r="N239" i="6" s="1"/>
  <c r="N245" i="6" s="1"/>
  <c r="N251" i="6" s="1"/>
  <c r="N257" i="6" s="1"/>
  <c r="N263" i="6" s="1"/>
  <c r="G14" i="12" l="1"/>
  <c r="H14" i="12" s="1"/>
  <c r="I14" i="12" s="1"/>
  <c r="J14" i="12" s="1"/>
  <c r="K14" i="12" s="1"/>
  <c r="L14" i="12" s="1"/>
  <c r="M14" i="12" s="1"/>
  <c r="N14" i="12" s="1"/>
  <c r="O14" i="12" s="1"/>
  <c r="P14" i="12" s="1"/>
  <c r="Q14" i="12" s="1"/>
  <c r="R14" i="12" s="1"/>
  <c r="S14" i="12" s="1"/>
  <c r="T14" i="12" s="1"/>
  <c r="U14" i="12" s="1"/>
  <c r="V14" i="12" s="1"/>
  <c r="W14" i="12" s="1"/>
  <c r="X14" i="12" s="1"/>
  <c r="Y14" i="12" s="1"/>
  <c r="Z14" i="12" s="1"/>
  <c r="AA14" i="12" s="1"/>
  <c r="AB14" i="12" s="1"/>
  <c r="AC14" i="12" s="1"/>
  <c r="AD14" i="12" s="1"/>
  <c r="AE14" i="12" s="1"/>
  <c r="AF14" i="12" s="1"/>
  <c r="AG14" i="12" s="1"/>
  <c r="AH14" i="12" s="1"/>
  <c r="AI14" i="12" s="1"/>
  <c r="AJ14" i="12" s="1"/>
  <c r="AK14" i="12" s="1"/>
  <c r="AL14" i="12" s="1"/>
  <c r="AM14" i="12" s="1"/>
  <c r="AN14" i="12" s="1"/>
  <c r="AO14" i="12" s="1"/>
  <c r="AP14" i="12" s="1"/>
  <c r="AQ14" i="12" s="1"/>
  <c r="AR14" i="12" s="1"/>
  <c r="E19" i="6"/>
  <c r="A32" i="12"/>
  <c r="A39" i="12" s="1"/>
  <c r="A31" i="12"/>
  <c r="A38" i="12" s="1"/>
  <c r="A33" i="12"/>
  <c r="A40" i="12" s="1"/>
  <c r="B38" i="12"/>
  <c r="B39" i="12"/>
  <c r="I10" i="11"/>
  <c r="I9" i="11"/>
  <c r="F3" i="11"/>
  <c r="F4" i="11" l="1"/>
  <c r="F5" i="11" l="1"/>
  <c r="C2" i="12"/>
  <c r="C3" i="12" l="1"/>
  <c r="D2" i="12"/>
  <c r="E2" i="12" s="1"/>
  <c r="F2" i="12" s="1"/>
  <c r="G2" i="12" s="1"/>
  <c r="H2" i="12" s="1"/>
  <c r="I2" i="12" s="1"/>
  <c r="J2" i="12" s="1"/>
  <c r="K2" i="12" s="1"/>
  <c r="L2" i="12" s="1"/>
  <c r="M2" i="12" s="1"/>
  <c r="N2" i="12" s="1"/>
  <c r="O2" i="12" s="1"/>
  <c r="P2" i="12" s="1"/>
  <c r="Q2" i="12" s="1"/>
  <c r="R2" i="12" s="1"/>
  <c r="S2" i="12" s="1"/>
  <c r="T2" i="12" s="1"/>
  <c r="U2" i="12" s="1"/>
  <c r="V2" i="12" s="1"/>
  <c r="W2" i="12" s="1"/>
  <c r="X2" i="12" s="1"/>
  <c r="Y2" i="12" s="1"/>
  <c r="Z2" i="12" s="1"/>
  <c r="AA2" i="12" s="1"/>
  <c r="AB2" i="12" s="1"/>
  <c r="AC2" i="12" s="1"/>
  <c r="AD2" i="12" s="1"/>
  <c r="AE2" i="12" s="1"/>
  <c r="AF2" i="12" s="1"/>
  <c r="AG2" i="12" s="1"/>
  <c r="AH2" i="12" s="1"/>
  <c r="AI2" i="12" s="1"/>
  <c r="AJ2" i="12" s="1"/>
  <c r="AK2" i="12" s="1"/>
  <c r="AL2" i="12" s="1"/>
  <c r="AM2" i="12" s="1"/>
  <c r="AN2" i="12" s="1"/>
  <c r="AO2" i="12" s="1"/>
  <c r="AP2" i="12" s="1"/>
  <c r="AQ2" i="12" s="1"/>
  <c r="AR2" i="12" s="1"/>
  <c r="C10" i="14"/>
  <c r="C11" i="14" s="1"/>
  <c r="C12" i="14" s="1"/>
  <c r="C13" i="14" s="1"/>
  <c r="C14" i="14" s="1"/>
  <c r="C15" i="14" s="1"/>
  <c r="C16" i="14" s="1"/>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F6" i="11"/>
  <c r="F7" i="11" s="1"/>
  <c r="F8" i="11" s="1"/>
  <c r="F9" i="11" s="1"/>
  <c r="F10" i="11" s="1"/>
  <c r="F11" i="11" s="1"/>
  <c r="F12" i="11" s="1"/>
  <c r="F13" i="11" s="1"/>
  <c r="F14" i="11" s="1"/>
  <c r="F15" i="11" s="1"/>
  <c r="F16" i="11" s="1"/>
  <c r="F17" i="11" s="1"/>
  <c r="F18" i="11" s="1"/>
  <c r="F19" i="11" s="1"/>
  <c r="F20" i="11" s="1"/>
  <c r="F21" i="11" s="1"/>
  <c r="F22" i="11" s="1"/>
  <c r="F23" i="11" s="1"/>
  <c r="F24" i="11" s="1"/>
  <c r="F25" i="11" s="1"/>
  <c r="F26" i="11" s="1"/>
  <c r="F27" i="11" s="1"/>
  <c r="F28" i="11" s="1"/>
  <c r="F29" i="11" s="1"/>
  <c r="F30" i="11" s="1"/>
  <c r="F31" i="11" s="1"/>
  <c r="F32" i="11" s="1"/>
  <c r="F33" i="11" s="1"/>
  <c r="F34" i="11" s="1"/>
  <c r="F35" i="11" s="1"/>
  <c r="F36" i="11" s="1"/>
  <c r="F37" i="11" s="1"/>
  <c r="F38" i="11" s="1"/>
  <c r="F39" i="11" s="1"/>
  <c r="F40" i="11" s="1"/>
  <c r="F41" i="11" s="1"/>
  <c r="F42" i="11" s="1"/>
  <c r="F43" i="11" s="1"/>
  <c r="F44" i="11" s="1"/>
  <c r="F45" i="11" s="1"/>
  <c r="F46" i="11" s="1"/>
  <c r="F47" i="11" s="1"/>
  <c r="F48" i="11" s="1"/>
  <c r="F49" i="11" s="1"/>
  <c r="F50" i="11" s="1"/>
  <c r="F51" i="11" s="1"/>
  <c r="F52" i="11" s="1"/>
  <c r="F53" i="11" s="1"/>
  <c r="F54" i="11" s="1"/>
  <c r="F55" i="11" s="1"/>
  <c r="F56" i="11" s="1"/>
  <c r="F57" i="11" s="1"/>
  <c r="F58" i="11" s="1"/>
  <c r="F59" i="11" s="1"/>
  <c r="F60" i="11" s="1"/>
  <c r="F61" i="11" s="1"/>
  <c r="F62" i="11" s="1"/>
  <c r="F63" i="11" s="1"/>
  <c r="F64" i="11" s="1"/>
  <c r="F65" i="11" s="1"/>
  <c r="F66" i="11" s="1"/>
  <c r="F67" i="11" s="1"/>
  <c r="F68" i="11" s="1"/>
  <c r="F69" i="11" s="1"/>
  <c r="F70" i="11" s="1"/>
  <c r="F71" i="11" s="1"/>
  <c r="F72" i="11" s="1"/>
  <c r="F73" i="11" s="1"/>
  <c r="F74" i="11" s="1"/>
  <c r="F75" i="11" s="1"/>
  <c r="F76" i="11" s="1"/>
  <c r="F77" i="11" s="1"/>
  <c r="F78" i="11" s="1"/>
  <c r="F79" i="11" s="1"/>
  <c r="F80" i="11" s="1"/>
  <c r="F81" i="11" s="1"/>
  <c r="F82" i="11" s="1"/>
  <c r="F83" i="11" s="1"/>
  <c r="F84" i="11" s="1"/>
  <c r="F85" i="11" s="1"/>
  <c r="F86" i="11" s="1"/>
  <c r="F87" i="11" s="1"/>
  <c r="F88" i="11" s="1"/>
  <c r="F89" i="11" s="1"/>
  <c r="F90" i="11" s="1"/>
  <c r="F91" i="11" s="1"/>
  <c r="F92" i="11" s="1"/>
  <c r="F93" i="11" s="1"/>
  <c r="F94" i="11" s="1"/>
  <c r="F95" i="11" s="1"/>
  <c r="F96" i="11" s="1"/>
  <c r="F97" i="11" s="1"/>
  <c r="F98" i="11" s="1"/>
  <c r="F99" i="11" s="1"/>
  <c r="F100" i="11" s="1"/>
  <c r="F101" i="11" s="1"/>
  <c r="F102" i="11" s="1"/>
  <c r="F103" i="11" s="1"/>
  <c r="F104" i="11" s="1"/>
  <c r="F105" i="11" s="1"/>
  <c r="F106" i="11" s="1"/>
  <c r="F107" i="11" s="1"/>
  <c r="F108" i="11" s="1"/>
  <c r="F109" i="11" s="1"/>
  <c r="F110" i="11" s="1"/>
  <c r="F111" i="11" s="1"/>
  <c r="F112" i="11" s="1"/>
  <c r="F113" i="11" s="1"/>
  <c r="F114" i="11" s="1"/>
  <c r="F115" i="11" s="1"/>
  <c r="F116" i="11" s="1"/>
  <c r="F117" i="11" s="1"/>
  <c r="F118" i="11" s="1"/>
  <c r="F119" i="11" s="1"/>
  <c r="F120" i="11" s="1"/>
  <c r="F121" i="11" s="1"/>
  <c r="F122" i="11" s="1"/>
  <c r="F123" i="11" s="1"/>
  <c r="F124" i="11" s="1"/>
  <c r="F125" i="11" s="1"/>
  <c r="F126" i="11" s="1"/>
  <c r="F127" i="11" s="1"/>
  <c r="F128" i="11" s="1"/>
  <c r="F129" i="11" s="1"/>
  <c r="F130" i="11" s="1"/>
  <c r="F131" i="11" s="1"/>
  <c r="F132" i="11" s="1"/>
  <c r="F133" i="11" s="1"/>
  <c r="F134" i="11" s="1"/>
  <c r="F135" i="11" s="1"/>
  <c r="F136" i="11" s="1"/>
  <c r="F137" i="11" s="1"/>
  <c r="F138" i="11" s="1"/>
  <c r="F139" i="11" s="1"/>
  <c r="F140" i="11" s="1"/>
  <c r="F141" i="11" s="1"/>
  <c r="F142" i="11" s="1"/>
  <c r="F143" i="11" s="1"/>
  <c r="F144" i="11" s="1"/>
  <c r="F145" i="11" s="1"/>
  <c r="F146" i="11" s="1"/>
  <c r="F147" i="11" s="1"/>
  <c r="F148" i="11" s="1"/>
  <c r="F149" i="11" s="1"/>
  <c r="F150" i="11" s="1"/>
  <c r="F151" i="11" s="1"/>
  <c r="F152" i="11" s="1"/>
  <c r="F153" i="11" s="1"/>
  <c r="F154" i="11" s="1"/>
  <c r="F155" i="11" s="1"/>
  <c r="F156" i="11" s="1"/>
  <c r="F157" i="11" s="1"/>
  <c r="F158" i="11" s="1"/>
  <c r="F159" i="11" s="1"/>
  <c r="F160" i="11" s="1"/>
  <c r="F161" i="11" s="1"/>
  <c r="F162" i="11" s="1"/>
  <c r="F163" i="11" s="1"/>
  <c r="F164" i="11" s="1"/>
  <c r="F165" i="11" s="1"/>
  <c r="F166" i="11" s="1"/>
  <c r="F167" i="11" s="1"/>
  <c r="F168" i="11" s="1"/>
  <c r="F169" i="11" s="1"/>
  <c r="F170" i="11" s="1"/>
  <c r="F171" i="11" s="1"/>
  <c r="F172" i="11" s="1"/>
  <c r="F173" i="11" s="1"/>
  <c r="F174" i="11" s="1"/>
  <c r="F175" i="11" s="1"/>
  <c r="F176" i="11" s="1"/>
  <c r="F177" i="11" s="1"/>
  <c r="F178" i="11" s="1"/>
  <c r="F179" i="11" s="1"/>
  <c r="F180" i="11" s="1"/>
  <c r="F181" i="11" s="1"/>
  <c r="F182" i="11" s="1"/>
  <c r="F183" i="11" s="1"/>
  <c r="F184" i="11" s="1"/>
  <c r="F185" i="11" s="1"/>
  <c r="F186" i="11" s="1"/>
  <c r="F187" i="11" s="1"/>
  <c r="F188" i="11" s="1"/>
  <c r="F189" i="11" s="1"/>
  <c r="F190" i="11" s="1"/>
  <c r="F191" i="11" s="1"/>
  <c r="F192" i="11" s="1"/>
  <c r="F193" i="11" s="1"/>
  <c r="F194" i="11" s="1"/>
  <c r="F195" i="11" s="1"/>
  <c r="F196" i="11" s="1"/>
  <c r="F197" i="11" s="1"/>
  <c r="F198" i="11" s="1"/>
  <c r="F199" i="11" s="1"/>
  <c r="F200" i="11" s="1"/>
  <c r="F201" i="11" s="1"/>
  <c r="F202" i="11" s="1"/>
  <c r="F203" i="11" s="1"/>
  <c r="F204" i="11" s="1"/>
  <c r="F205" i="11" s="1"/>
  <c r="F206" i="11" s="1"/>
  <c r="F207" i="11" s="1"/>
  <c r="F208" i="11" s="1"/>
  <c r="F209" i="11" s="1"/>
  <c r="F210" i="11" s="1"/>
  <c r="F211" i="11" s="1"/>
  <c r="F212" i="11" s="1"/>
  <c r="F213" i="11" s="1"/>
  <c r="F214" i="11" s="1"/>
  <c r="F215" i="11" s="1"/>
  <c r="C18" i="6"/>
  <c r="K17" i="6" l="1"/>
  <c r="C10" i="12"/>
  <c r="D10" i="12" s="1"/>
  <c r="E10" i="12" s="1"/>
  <c r="F10" i="12" s="1"/>
  <c r="G10" i="12" s="1"/>
  <c r="H10" i="12" s="1"/>
  <c r="I10" i="12" s="1"/>
  <c r="J10" i="12" s="1"/>
  <c r="K10" i="12" s="1"/>
  <c r="L10" i="12" s="1"/>
  <c r="M10" i="12" s="1"/>
  <c r="N10" i="12" s="1"/>
  <c r="O10" i="12" s="1"/>
  <c r="P10" i="12" s="1"/>
  <c r="Q10" i="12" s="1"/>
  <c r="R10" i="12" s="1"/>
  <c r="S10" i="12" s="1"/>
  <c r="T10" i="12" s="1"/>
  <c r="U10" i="12" s="1"/>
  <c r="V10" i="12" s="1"/>
  <c r="W10" i="12" s="1"/>
  <c r="X10" i="12" s="1"/>
  <c r="Y10" i="12" s="1"/>
  <c r="Z10" i="12" s="1"/>
  <c r="AA10" i="12" s="1"/>
  <c r="AB10" i="12" s="1"/>
  <c r="AC10" i="12" s="1"/>
  <c r="AD10" i="12" s="1"/>
  <c r="AE10" i="12" s="1"/>
  <c r="AF10" i="12" s="1"/>
  <c r="AG10" i="12" s="1"/>
  <c r="AH10" i="12" s="1"/>
  <c r="AI10" i="12" s="1"/>
  <c r="AJ10" i="12" s="1"/>
  <c r="AK10" i="12" s="1"/>
  <c r="AL10" i="12" s="1"/>
  <c r="AM10" i="12" s="1"/>
  <c r="AN10" i="12" s="1"/>
  <c r="AO10" i="12" s="1"/>
  <c r="AP10" i="12" s="1"/>
  <c r="AQ10" i="12" s="1"/>
  <c r="AR10" i="12" s="1"/>
  <c r="L13" i="9"/>
  <c r="C4" i="12"/>
  <c r="D4" i="12" s="1"/>
  <c r="E4" i="12" s="1"/>
  <c r="F4" i="12" s="1"/>
  <c r="G4" i="12" s="1"/>
  <c r="K13" i="9"/>
  <c r="K16" i="9" s="1"/>
  <c r="D3" i="12"/>
  <c r="E3" i="12" s="1"/>
  <c r="F3" i="12" s="1"/>
  <c r="D9" i="12"/>
  <c r="E9" i="12" s="1"/>
  <c r="H4" i="12" l="1"/>
  <c r="I4" i="12" s="1"/>
  <c r="J4" i="12" s="1"/>
  <c r="K4" i="12" s="1"/>
  <c r="L4" i="12" s="1"/>
  <c r="M4" i="12" s="1"/>
  <c r="N4" i="12" s="1"/>
  <c r="O4" i="12" s="1"/>
  <c r="P4" i="12" s="1"/>
  <c r="Q4" i="12" s="1"/>
  <c r="R4" i="12" s="1"/>
  <c r="S4" i="12" s="1"/>
  <c r="T4" i="12" s="1"/>
  <c r="U4" i="12" s="1"/>
  <c r="V4" i="12" s="1"/>
  <c r="W4" i="12" s="1"/>
  <c r="X4" i="12" s="1"/>
  <c r="Y4" i="12" s="1"/>
  <c r="Z4" i="12" s="1"/>
  <c r="AA4" i="12" s="1"/>
  <c r="AB4" i="12" s="1"/>
  <c r="AC4" i="12" s="1"/>
  <c r="AD4" i="12" s="1"/>
  <c r="AE4" i="12" s="1"/>
  <c r="AF4" i="12" s="1"/>
  <c r="AG4" i="12" s="1"/>
  <c r="AH4" i="12" s="1"/>
  <c r="AI4" i="12" s="1"/>
  <c r="AJ4" i="12" s="1"/>
  <c r="AK4" i="12" s="1"/>
  <c r="AL4" i="12" s="1"/>
  <c r="AM4" i="12" s="1"/>
  <c r="AN4" i="12" s="1"/>
  <c r="AO4" i="12" s="1"/>
  <c r="AP4" i="12" s="1"/>
  <c r="AQ4" i="12" s="1"/>
  <c r="AR4" i="12" s="1"/>
  <c r="F9" i="12"/>
  <c r="G9" i="12" s="1"/>
  <c r="G3" i="12"/>
  <c r="E20" i="6" l="1"/>
  <c r="E26" i="6" s="1"/>
  <c r="E32" i="6" s="1"/>
  <c r="E38" i="6" s="1"/>
  <c r="E44" i="6" s="1"/>
  <c r="E50" i="6" s="1"/>
  <c r="E56" i="6" s="1"/>
  <c r="E62" i="6" s="1"/>
  <c r="E68" i="6" s="1"/>
  <c r="E74" i="6" s="1"/>
  <c r="E80" i="6" s="1"/>
  <c r="E86" i="6" s="1"/>
  <c r="E92" i="6" s="1"/>
  <c r="E98" i="6" s="1"/>
  <c r="E104" i="6" s="1"/>
  <c r="E110" i="6" s="1"/>
  <c r="E116" i="6" s="1"/>
  <c r="E122" i="6" s="1"/>
  <c r="E128" i="6" s="1"/>
  <c r="E134" i="6" s="1"/>
  <c r="E140" i="6" s="1"/>
  <c r="E146" i="6" s="1"/>
  <c r="E152" i="6" s="1"/>
  <c r="E158" i="6" s="1"/>
  <c r="E164" i="6" s="1"/>
  <c r="E170" i="6" s="1"/>
  <c r="E176" i="6" s="1"/>
  <c r="E182" i="6" s="1"/>
  <c r="E188" i="6" s="1"/>
  <c r="E194" i="6" s="1"/>
  <c r="E200" i="6" s="1"/>
  <c r="E206" i="6" s="1"/>
  <c r="E212" i="6" s="1"/>
  <c r="E218" i="6" s="1"/>
  <c r="E224" i="6" s="1"/>
  <c r="E230" i="6" s="1"/>
  <c r="E236" i="6" s="1"/>
  <c r="E242" i="6" s="1"/>
  <c r="E248" i="6" s="1"/>
  <c r="E254" i="6" s="1"/>
  <c r="E260" i="6" s="1"/>
  <c r="E266" i="6" s="1"/>
  <c r="H3" i="12"/>
  <c r="H9" i="12"/>
  <c r="I9" i="12" s="1"/>
  <c r="J9" i="12" s="1"/>
  <c r="K9" i="12" s="1"/>
  <c r="L9" i="12" s="1"/>
  <c r="M9" i="12" s="1"/>
  <c r="N9" i="12" s="1"/>
  <c r="O9" i="12" s="1"/>
  <c r="P9" i="12" s="1"/>
  <c r="Q9" i="12" s="1"/>
  <c r="R9" i="12" s="1"/>
  <c r="S9" i="12" s="1"/>
  <c r="T9" i="12" s="1"/>
  <c r="U9" i="12" s="1"/>
  <c r="V9" i="12" s="1"/>
  <c r="W9" i="12" s="1"/>
  <c r="X9" i="12" s="1"/>
  <c r="Y9" i="12" s="1"/>
  <c r="Z9" i="12" s="1"/>
  <c r="AA9" i="12" s="1"/>
  <c r="AB9" i="12" s="1"/>
  <c r="AC9" i="12" s="1"/>
  <c r="AD9" i="12" s="1"/>
  <c r="AE9" i="12" s="1"/>
  <c r="AF9" i="12" s="1"/>
  <c r="AG9" i="12" s="1"/>
  <c r="AH9" i="12" s="1"/>
  <c r="AI9" i="12" s="1"/>
  <c r="AJ9" i="12" s="1"/>
  <c r="AK9" i="12" s="1"/>
  <c r="AL9" i="12" s="1"/>
  <c r="AM9" i="12" s="1"/>
  <c r="AN9" i="12" s="1"/>
  <c r="AO9" i="12" s="1"/>
  <c r="AP9" i="12" s="1"/>
  <c r="AQ9" i="12" s="1"/>
  <c r="AR9" i="12" s="1"/>
  <c r="I16" i="9"/>
  <c r="I9" i="6"/>
  <c r="B23" i="12"/>
  <c r="B33" i="12" s="1"/>
  <c r="D20" i="6"/>
  <c r="D19" i="6"/>
  <c r="Q20" i="6"/>
  <c r="R20" i="6" l="1"/>
  <c r="G20" i="6"/>
  <c r="G19" i="6"/>
  <c r="R19" i="6"/>
  <c r="I19" i="6"/>
  <c r="I20" i="6"/>
  <c r="I3" i="12"/>
  <c r="J3" i="12" s="1"/>
  <c r="K3" i="12" s="1"/>
  <c r="L3" i="12" s="1"/>
  <c r="M3" i="12" s="1"/>
  <c r="N3" i="12" s="1"/>
  <c r="O3" i="12" s="1"/>
  <c r="P3" i="12" s="1"/>
  <c r="Q3" i="12" s="1"/>
  <c r="R3" i="12" s="1"/>
  <c r="S3" i="12" s="1"/>
  <c r="T3" i="12" s="1"/>
  <c r="U3" i="12" s="1"/>
  <c r="V3" i="12" s="1"/>
  <c r="W3" i="12" s="1"/>
  <c r="X3" i="12" s="1"/>
  <c r="Y3" i="12" s="1"/>
  <c r="Z3" i="12" s="1"/>
  <c r="AA3" i="12" s="1"/>
  <c r="AB3" i="12" s="1"/>
  <c r="AC3" i="12" s="1"/>
  <c r="AD3" i="12" s="1"/>
  <c r="AE3" i="12" s="1"/>
  <c r="AF3" i="12" s="1"/>
  <c r="J20" i="6"/>
  <c r="K19" i="9"/>
  <c r="K17" i="9"/>
  <c r="K20" i="9"/>
  <c r="K18" i="9"/>
  <c r="B40" i="12"/>
  <c r="K15" i="9"/>
  <c r="L16" i="9"/>
  <c r="L20" i="9"/>
  <c r="L17" i="9"/>
  <c r="L19" i="9"/>
  <c r="L15" i="9"/>
  <c r="L18" i="9"/>
  <c r="AG3" i="12" l="1"/>
  <c r="AH3" i="12" s="1"/>
  <c r="AI3" i="12" s="1"/>
  <c r="AJ3" i="12" s="1"/>
  <c r="AK3" i="12" s="1"/>
  <c r="AL3" i="12" s="1"/>
  <c r="AM3" i="12" s="1"/>
  <c r="AN3" i="12" s="1"/>
  <c r="AO3" i="12" s="1"/>
  <c r="AP3" i="12" s="1"/>
  <c r="AQ3" i="12" s="1"/>
  <c r="AR3" i="12" s="1"/>
  <c r="M15" i="9"/>
  <c r="E25" i="6"/>
  <c r="J19" i="6"/>
  <c r="K19" i="6"/>
  <c r="M20" i="9"/>
  <c r="M19" i="9"/>
  <c r="M18" i="9"/>
  <c r="M17" i="9"/>
  <c r="M16" i="9"/>
  <c r="E31" i="6" l="1"/>
  <c r="N15" i="9"/>
  <c r="N19" i="9"/>
  <c r="N17" i="9"/>
  <c r="E37" i="6" l="1"/>
  <c r="K20" i="6"/>
  <c r="F20" i="6"/>
  <c r="H20" i="6"/>
  <c r="H19" i="6"/>
  <c r="F19" i="6"/>
  <c r="E43" i="6" l="1"/>
  <c r="C26" i="6"/>
  <c r="C25" i="6"/>
  <c r="C24" i="6"/>
  <c r="K23" i="6" s="1"/>
  <c r="B23" i="6"/>
  <c r="E49" i="6" l="1"/>
  <c r="B29" i="6"/>
  <c r="C30" i="6"/>
  <c r="K25" i="6"/>
  <c r="J23" i="6"/>
  <c r="J25" i="6" s="1"/>
  <c r="C31" i="6"/>
  <c r="Q25" i="6"/>
  <c r="C32" i="6"/>
  <c r="Q26" i="6"/>
  <c r="F25" i="6"/>
  <c r="E55" i="6" l="1"/>
  <c r="K29" i="6"/>
  <c r="K31" i="6" s="1"/>
  <c r="J29" i="6"/>
  <c r="J31" i="6" s="1"/>
  <c r="B35" i="6"/>
  <c r="C36" i="6"/>
  <c r="C38" i="6"/>
  <c r="Q32" i="6"/>
  <c r="C37" i="6"/>
  <c r="Q31" i="6"/>
  <c r="E61" i="6" l="1"/>
  <c r="J35" i="6"/>
  <c r="J37" i="6" s="1"/>
  <c r="K35" i="6"/>
  <c r="K37" i="6" s="1"/>
  <c r="B41" i="6"/>
  <c r="J26" i="6"/>
  <c r="K26" i="6"/>
  <c r="C42" i="6"/>
  <c r="C43" i="6"/>
  <c r="Q37" i="6"/>
  <c r="C44" i="6"/>
  <c r="Q38" i="6"/>
  <c r="E67" i="6" l="1"/>
  <c r="J41" i="6"/>
  <c r="J43" i="6" s="1"/>
  <c r="K41" i="6"/>
  <c r="K43" i="6" s="1"/>
  <c r="B47" i="6"/>
  <c r="K32" i="6"/>
  <c r="J32" i="6"/>
  <c r="C48" i="6"/>
  <c r="C50" i="6"/>
  <c r="Q44" i="6"/>
  <c r="C49" i="6"/>
  <c r="Q43" i="6"/>
  <c r="E73" i="6" l="1"/>
  <c r="K47" i="6"/>
  <c r="J47" i="6"/>
  <c r="B53" i="6"/>
  <c r="K38" i="6"/>
  <c r="J38" i="6"/>
  <c r="C54" i="6"/>
  <c r="C56" i="6"/>
  <c r="Q50" i="6"/>
  <c r="C55" i="6"/>
  <c r="Q49" i="6"/>
  <c r="E79" i="6" l="1"/>
  <c r="J53" i="6"/>
  <c r="K53" i="6"/>
  <c r="B59" i="6"/>
  <c r="K44" i="6"/>
  <c r="J44" i="6"/>
  <c r="C60" i="6"/>
  <c r="C61" i="6"/>
  <c r="Q55" i="6"/>
  <c r="C62" i="6"/>
  <c r="Q56" i="6"/>
  <c r="E85" i="6" l="1"/>
  <c r="J59" i="6"/>
  <c r="K59" i="6"/>
  <c r="B65" i="6"/>
  <c r="C66" i="6"/>
  <c r="C68" i="6"/>
  <c r="Q62" i="6"/>
  <c r="C67" i="6"/>
  <c r="Q61" i="6"/>
  <c r="D26" i="6"/>
  <c r="B26" i="6"/>
  <c r="D25" i="6"/>
  <c r="B25" i="6"/>
  <c r="I26" i="6" l="1"/>
  <c r="R26" i="6"/>
  <c r="G26" i="6"/>
  <c r="I25" i="6"/>
  <c r="R25" i="6"/>
  <c r="G25" i="6"/>
  <c r="H25" i="6" s="1"/>
  <c r="E91" i="6"/>
  <c r="K65" i="6"/>
  <c r="J65" i="6"/>
  <c r="B71" i="6"/>
  <c r="B31" i="6"/>
  <c r="A25" i="6"/>
  <c r="B32" i="6"/>
  <c r="A26" i="6"/>
  <c r="C72" i="6"/>
  <c r="C73" i="6"/>
  <c r="Q67" i="6"/>
  <c r="D32" i="6"/>
  <c r="C74" i="6"/>
  <c r="Q68" i="6"/>
  <c r="D31" i="6"/>
  <c r="L20" i="6"/>
  <c r="S20" i="6" s="1"/>
  <c r="H26" i="6"/>
  <c r="L26" i="6" s="1"/>
  <c r="F26" i="6"/>
  <c r="L19" i="6"/>
  <c r="S19" i="6" s="1"/>
  <c r="I32" i="6" l="1"/>
  <c r="G32" i="6"/>
  <c r="R32" i="6"/>
  <c r="I31" i="6"/>
  <c r="G31" i="6"/>
  <c r="H31" i="6" s="1"/>
  <c r="R31" i="6"/>
  <c r="E97" i="6"/>
  <c r="O19" i="6"/>
  <c r="P19" i="6"/>
  <c r="M19" i="6"/>
  <c r="K71" i="6"/>
  <c r="J71" i="6"/>
  <c r="B77" i="6"/>
  <c r="B38" i="6"/>
  <c r="A38" i="6" s="1"/>
  <c r="A32" i="6"/>
  <c r="B37" i="6"/>
  <c r="A31" i="6"/>
  <c r="L25" i="6"/>
  <c r="N25" i="6" s="1"/>
  <c r="N26" i="6"/>
  <c r="C78" i="6"/>
  <c r="C80" i="6"/>
  <c r="Q74" i="6"/>
  <c r="D37" i="6"/>
  <c r="D38" i="6"/>
  <c r="C79" i="6"/>
  <c r="Q73" i="6"/>
  <c r="S26" i="6"/>
  <c r="F32" i="6"/>
  <c r="H32" i="6"/>
  <c r="F31" i="6"/>
  <c r="L31" i="6" l="1"/>
  <c r="L32" i="6"/>
  <c r="I38" i="6"/>
  <c r="G38" i="6"/>
  <c r="R38" i="6"/>
  <c r="I37" i="6"/>
  <c r="R37" i="6"/>
  <c r="G37" i="6"/>
  <c r="H37" i="6" s="1"/>
  <c r="E103" i="6"/>
  <c r="K77" i="6"/>
  <c r="J77" i="6"/>
  <c r="B83" i="6"/>
  <c r="B43" i="6"/>
  <c r="A37" i="6"/>
  <c r="B44" i="6"/>
  <c r="S25" i="6"/>
  <c r="M25" i="6"/>
  <c r="N32" i="6"/>
  <c r="N31" i="6"/>
  <c r="C84" i="6"/>
  <c r="D43" i="6"/>
  <c r="C85" i="6"/>
  <c r="Q79" i="6"/>
  <c r="D44" i="6"/>
  <c r="C86" i="6"/>
  <c r="Q80" i="6"/>
  <c r="S32" i="6"/>
  <c r="S31" i="6"/>
  <c r="F37" i="6"/>
  <c r="F38" i="6"/>
  <c r="H38" i="6"/>
  <c r="L38" i="6" s="1"/>
  <c r="M31" i="6" l="1"/>
  <c r="I44" i="6"/>
  <c r="R44" i="6"/>
  <c r="G44" i="6"/>
  <c r="H44" i="6" s="1"/>
  <c r="L44" i="6" s="1"/>
  <c r="L37" i="6"/>
  <c r="M37" i="6" s="1"/>
  <c r="I43" i="6"/>
  <c r="R43" i="6"/>
  <c r="G43" i="6"/>
  <c r="H43" i="6" s="1"/>
  <c r="L43" i="6" s="1"/>
  <c r="E109" i="6"/>
  <c r="J83" i="6"/>
  <c r="K83" i="6"/>
  <c r="B89" i="6"/>
  <c r="P31" i="6"/>
  <c r="P25" i="6"/>
  <c r="O25" i="6"/>
  <c r="O31" i="6"/>
  <c r="B49" i="6"/>
  <c r="A43" i="6"/>
  <c r="B50" i="6"/>
  <c r="A44" i="6"/>
  <c r="N38" i="6"/>
  <c r="K50" i="6"/>
  <c r="J50" i="6"/>
  <c r="K49" i="6"/>
  <c r="J49" i="6"/>
  <c r="C90" i="6"/>
  <c r="D50" i="6"/>
  <c r="C91" i="6"/>
  <c r="Q85" i="6"/>
  <c r="C92" i="6"/>
  <c r="Q86" i="6"/>
  <c r="D49" i="6"/>
  <c r="S38" i="6"/>
  <c r="F44" i="6"/>
  <c r="F43" i="6"/>
  <c r="N37" i="6" l="1"/>
  <c r="N43" i="6" s="1"/>
  <c r="S37" i="6"/>
  <c r="P37" i="6" s="1"/>
  <c r="I50" i="6"/>
  <c r="R50" i="6"/>
  <c r="G50" i="6"/>
  <c r="H50" i="6" s="1"/>
  <c r="I49" i="6"/>
  <c r="R49" i="6"/>
  <c r="G49" i="6"/>
  <c r="H49" i="6" s="1"/>
  <c r="E115" i="6"/>
  <c r="J89" i="6"/>
  <c r="K89" i="6"/>
  <c r="B95" i="6"/>
  <c r="B56" i="6"/>
  <c r="A50" i="6"/>
  <c r="B55" i="6"/>
  <c r="A49" i="6"/>
  <c r="N44" i="6"/>
  <c r="M43" i="6"/>
  <c r="J55" i="6"/>
  <c r="K55" i="6"/>
  <c r="K56" i="6"/>
  <c r="J56" i="6"/>
  <c r="C96" i="6"/>
  <c r="D55" i="6"/>
  <c r="C97" i="6"/>
  <c r="Q91" i="6"/>
  <c r="C98" i="6"/>
  <c r="Q92" i="6"/>
  <c r="D56" i="6"/>
  <c r="S44" i="6"/>
  <c r="F50" i="6"/>
  <c r="F49" i="6"/>
  <c r="S43" i="6"/>
  <c r="O37" i="6" l="1"/>
  <c r="L50" i="6"/>
  <c r="I56" i="6"/>
  <c r="R56" i="6"/>
  <c r="G56" i="6"/>
  <c r="H56" i="6" s="1"/>
  <c r="L49" i="6"/>
  <c r="N49" i="6" s="1"/>
  <c r="I55" i="6"/>
  <c r="G55" i="6"/>
  <c r="H55" i="6" s="1"/>
  <c r="R55" i="6"/>
  <c r="E121" i="6"/>
  <c r="K95" i="6"/>
  <c r="J95" i="6"/>
  <c r="B101" i="6"/>
  <c r="P43" i="6"/>
  <c r="O43" i="6"/>
  <c r="B61" i="6"/>
  <c r="A55" i="6"/>
  <c r="B62" i="6"/>
  <c r="A56" i="6"/>
  <c r="N50" i="6"/>
  <c r="J61" i="6"/>
  <c r="K61" i="6"/>
  <c r="K62" i="6"/>
  <c r="J62" i="6"/>
  <c r="C102" i="6"/>
  <c r="C104" i="6"/>
  <c r="Q98" i="6"/>
  <c r="D62" i="6"/>
  <c r="C103" i="6"/>
  <c r="Q97" i="6"/>
  <c r="D61" i="6"/>
  <c r="S50" i="6"/>
  <c r="F55" i="6"/>
  <c r="F56" i="6"/>
  <c r="L55" i="6" l="1"/>
  <c r="L56" i="6"/>
  <c r="N56" i="6" s="1"/>
  <c r="S49" i="6"/>
  <c r="O49" i="6" s="1"/>
  <c r="M49" i="6"/>
  <c r="I62" i="6"/>
  <c r="R62" i="6"/>
  <c r="G62" i="6"/>
  <c r="H62" i="6" s="1"/>
  <c r="I61" i="6"/>
  <c r="R61" i="6"/>
  <c r="G61" i="6"/>
  <c r="H61" i="6" s="1"/>
  <c r="E127" i="6"/>
  <c r="K101" i="6"/>
  <c r="J101" i="6"/>
  <c r="B107" i="6"/>
  <c r="P49" i="6"/>
  <c r="B68" i="6"/>
  <c r="A62" i="6"/>
  <c r="B67" i="6"/>
  <c r="A61" i="6"/>
  <c r="N55" i="6"/>
  <c r="K68" i="6"/>
  <c r="J68" i="6"/>
  <c r="M55" i="6"/>
  <c r="K67" i="6"/>
  <c r="J67" i="6"/>
  <c r="C108" i="6"/>
  <c r="D67" i="6"/>
  <c r="C109" i="6"/>
  <c r="Q103" i="6"/>
  <c r="D68" i="6"/>
  <c r="C110" i="6"/>
  <c r="Q104" i="6"/>
  <c r="S55" i="6"/>
  <c r="F62" i="6"/>
  <c r="S56" i="6"/>
  <c r="F61" i="6"/>
  <c r="L62" i="6" l="1"/>
  <c r="I68" i="6"/>
  <c r="G68" i="6"/>
  <c r="H68" i="6" s="1"/>
  <c r="R68" i="6"/>
  <c r="L61" i="6"/>
  <c r="S61" i="6" s="1"/>
  <c r="I67" i="6"/>
  <c r="R67" i="6"/>
  <c r="G67" i="6"/>
  <c r="H67" i="6" s="1"/>
  <c r="L67" i="6" s="1"/>
  <c r="E133" i="6"/>
  <c r="J107" i="6"/>
  <c r="K107" i="6"/>
  <c r="B113" i="6"/>
  <c r="P55" i="6"/>
  <c r="O55" i="6"/>
  <c r="B73" i="6"/>
  <c r="A67" i="6"/>
  <c r="B74" i="6"/>
  <c r="A68" i="6"/>
  <c r="N62" i="6"/>
  <c r="K73" i="6"/>
  <c r="J73" i="6"/>
  <c r="K74" i="6"/>
  <c r="J74" i="6"/>
  <c r="C114" i="6"/>
  <c r="C116" i="6"/>
  <c r="Q110" i="6"/>
  <c r="C115" i="6"/>
  <c r="Q109" i="6"/>
  <c r="D73" i="6"/>
  <c r="D74" i="6"/>
  <c r="S62" i="6"/>
  <c r="F68" i="6"/>
  <c r="F67" i="6"/>
  <c r="L68" i="6" l="1"/>
  <c r="M61" i="6"/>
  <c r="N61" i="6"/>
  <c r="N67" i="6" s="1"/>
  <c r="I74" i="6"/>
  <c r="R74" i="6"/>
  <c r="G74" i="6"/>
  <c r="I73" i="6"/>
  <c r="R73" i="6"/>
  <c r="G73" i="6"/>
  <c r="E139" i="6"/>
  <c r="K113" i="6"/>
  <c r="J113" i="6"/>
  <c r="B119" i="6"/>
  <c r="P61" i="6"/>
  <c r="O61" i="6"/>
  <c r="B79" i="6"/>
  <c r="A73" i="6"/>
  <c r="B80" i="6"/>
  <c r="A74" i="6"/>
  <c r="N68" i="6"/>
  <c r="M67" i="6"/>
  <c r="K80" i="6"/>
  <c r="J80" i="6"/>
  <c r="K79" i="6"/>
  <c r="J79" i="6"/>
  <c r="C120" i="6"/>
  <c r="D79" i="6"/>
  <c r="C121" i="6"/>
  <c r="Q115" i="6"/>
  <c r="D80" i="6"/>
  <c r="C122" i="6"/>
  <c r="Q116" i="6"/>
  <c r="S67" i="6"/>
  <c r="S68" i="6"/>
  <c r="F73" i="6"/>
  <c r="H73" i="6"/>
  <c r="H74" i="6"/>
  <c r="F74" i="6"/>
  <c r="L74" i="6" l="1"/>
  <c r="I80" i="6"/>
  <c r="G80" i="6"/>
  <c r="H80" i="6" s="1"/>
  <c r="L80" i="6" s="1"/>
  <c r="R80" i="6"/>
  <c r="L73" i="6"/>
  <c r="S73" i="6" s="1"/>
  <c r="I79" i="6"/>
  <c r="G79" i="6"/>
  <c r="H79" i="6" s="1"/>
  <c r="L79" i="6" s="1"/>
  <c r="R79" i="6"/>
  <c r="E145" i="6"/>
  <c r="K119" i="6"/>
  <c r="J119" i="6"/>
  <c r="B125" i="6"/>
  <c r="P67" i="6"/>
  <c r="O67" i="6"/>
  <c r="B86" i="6"/>
  <c r="A80" i="6"/>
  <c r="B85" i="6"/>
  <c r="A79" i="6"/>
  <c r="N74" i="6"/>
  <c r="K86" i="6"/>
  <c r="J86" i="6"/>
  <c r="K85" i="6"/>
  <c r="J85" i="6"/>
  <c r="C126" i="6"/>
  <c r="D86" i="6"/>
  <c r="C127" i="6"/>
  <c r="Q121" i="6"/>
  <c r="C128" i="6"/>
  <c r="Q122" i="6"/>
  <c r="D85" i="6"/>
  <c r="F80" i="6"/>
  <c r="F79" i="6"/>
  <c r="S74" i="6"/>
  <c r="M73" i="6" l="1"/>
  <c r="N73" i="6"/>
  <c r="N79" i="6" s="1"/>
  <c r="I86" i="6"/>
  <c r="R86" i="6"/>
  <c r="G86" i="6"/>
  <c r="I85" i="6"/>
  <c r="R85" i="6"/>
  <c r="G85" i="6"/>
  <c r="H85" i="6" s="1"/>
  <c r="E151" i="6"/>
  <c r="K125" i="6"/>
  <c r="J125" i="6"/>
  <c r="B131" i="6"/>
  <c r="P73" i="6"/>
  <c r="O73" i="6"/>
  <c r="B91" i="6"/>
  <c r="A85" i="6"/>
  <c r="B92" i="6"/>
  <c r="A86" i="6"/>
  <c r="N80" i="6"/>
  <c r="M79" i="6"/>
  <c r="K91" i="6"/>
  <c r="J91" i="6"/>
  <c r="K92" i="6"/>
  <c r="J92" i="6"/>
  <c r="C132" i="6"/>
  <c r="C133" i="6"/>
  <c r="Q127" i="6"/>
  <c r="D91" i="6"/>
  <c r="C134" i="6"/>
  <c r="Q128" i="6"/>
  <c r="D92" i="6"/>
  <c r="S80" i="6"/>
  <c r="S79" i="6"/>
  <c r="F85" i="6"/>
  <c r="H86" i="6"/>
  <c r="L86" i="6" s="1"/>
  <c r="F86" i="6"/>
  <c r="L85" i="6" l="1"/>
  <c r="I92" i="6"/>
  <c r="G92" i="6"/>
  <c r="R92" i="6"/>
  <c r="I91" i="6"/>
  <c r="R91" i="6"/>
  <c r="G91" i="6"/>
  <c r="H91" i="6" s="1"/>
  <c r="E157" i="6"/>
  <c r="J131" i="6"/>
  <c r="K131" i="6"/>
  <c r="B137" i="6"/>
  <c r="P79" i="6"/>
  <c r="O79" i="6"/>
  <c r="B98" i="6"/>
  <c r="A92" i="6"/>
  <c r="B97" i="6"/>
  <c r="A91" i="6"/>
  <c r="N86" i="6"/>
  <c r="N85" i="6"/>
  <c r="J97" i="6"/>
  <c r="K97" i="6"/>
  <c r="K98" i="6"/>
  <c r="J98" i="6"/>
  <c r="M85" i="6"/>
  <c r="C138" i="6"/>
  <c r="D97" i="6"/>
  <c r="C140" i="6"/>
  <c r="Q134" i="6"/>
  <c r="D98" i="6"/>
  <c r="C139" i="6"/>
  <c r="Q133" i="6"/>
  <c r="S85" i="6"/>
  <c r="S86" i="6"/>
  <c r="F91" i="6"/>
  <c r="F92" i="6"/>
  <c r="H92" i="6"/>
  <c r="L92" i="6" s="1"/>
  <c r="I98" i="6" l="1"/>
  <c r="G98" i="6"/>
  <c r="H98" i="6" s="1"/>
  <c r="R98" i="6"/>
  <c r="L91" i="6"/>
  <c r="S91" i="6" s="1"/>
  <c r="I97" i="6"/>
  <c r="R97" i="6"/>
  <c r="G97" i="6"/>
  <c r="E163" i="6"/>
  <c r="J137" i="6"/>
  <c r="K137" i="6"/>
  <c r="B143" i="6"/>
  <c r="P85" i="6"/>
  <c r="O85" i="6"/>
  <c r="B103" i="6"/>
  <c r="A97" i="6"/>
  <c r="B104" i="6"/>
  <c r="A98" i="6"/>
  <c r="N92" i="6"/>
  <c r="K103" i="6"/>
  <c r="J103" i="6"/>
  <c r="K104" i="6"/>
  <c r="J104" i="6"/>
  <c r="C144" i="6"/>
  <c r="C146" i="6"/>
  <c r="Q140" i="6"/>
  <c r="D103" i="6"/>
  <c r="D104" i="6"/>
  <c r="C145" i="6"/>
  <c r="Q139" i="6"/>
  <c r="S92" i="6"/>
  <c r="F98" i="6"/>
  <c r="H97" i="6"/>
  <c r="F97" i="6"/>
  <c r="L97" i="6" l="1"/>
  <c r="S97" i="6" s="1"/>
  <c r="L98" i="6"/>
  <c r="N98" i="6" s="1"/>
  <c r="M91" i="6"/>
  <c r="N91" i="6"/>
  <c r="I104" i="6"/>
  <c r="R104" i="6"/>
  <c r="G104" i="6"/>
  <c r="I103" i="6"/>
  <c r="G103" i="6"/>
  <c r="H103" i="6" s="1"/>
  <c r="R103" i="6"/>
  <c r="E169" i="6"/>
  <c r="K143" i="6"/>
  <c r="J143" i="6"/>
  <c r="B149" i="6"/>
  <c r="P91" i="6"/>
  <c r="O91" i="6"/>
  <c r="B109" i="6"/>
  <c r="A103" i="6"/>
  <c r="B110" i="6"/>
  <c r="A104" i="6"/>
  <c r="K110" i="6"/>
  <c r="J110" i="6"/>
  <c r="K109" i="6"/>
  <c r="J109" i="6"/>
  <c r="C150" i="6"/>
  <c r="D110" i="6"/>
  <c r="C152" i="6"/>
  <c r="Q146" i="6"/>
  <c r="D109" i="6"/>
  <c r="C151" i="6"/>
  <c r="Q145" i="6"/>
  <c r="H104" i="6"/>
  <c r="F103" i="6"/>
  <c r="S98" i="6"/>
  <c r="F104" i="6"/>
  <c r="N97" i="6" l="1"/>
  <c r="M97" i="6"/>
  <c r="L104" i="6"/>
  <c r="N104" i="6" s="1"/>
  <c r="I110" i="6"/>
  <c r="R110" i="6"/>
  <c r="G110" i="6"/>
  <c r="L103" i="6"/>
  <c r="S103" i="6" s="1"/>
  <c r="I109" i="6"/>
  <c r="R109" i="6"/>
  <c r="G109" i="6"/>
  <c r="H109" i="6" s="1"/>
  <c r="E175" i="6"/>
  <c r="J149" i="6"/>
  <c r="K149" i="6"/>
  <c r="B155" i="6"/>
  <c r="P97" i="6"/>
  <c r="O97" i="6"/>
  <c r="B116" i="6"/>
  <c r="A110" i="6"/>
  <c r="B115" i="6"/>
  <c r="A109" i="6"/>
  <c r="K116" i="6"/>
  <c r="J116" i="6"/>
  <c r="K115" i="6"/>
  <c r="J115" i="6"/>
  <c r="C156" i="6"/>
  <c r="D116" i="6"/>
  <c r="D115" i="6"/>
  <c r="C158" i="6"/>
  <c r="Q152" i="6"/>
  <c r="C157" i="6"/>
  <c r="Q151" i="6"/>
  <c r="F110" i="6"/>
  <c r="H110" i="6"/>
  <c r="F109" i="6"/>
  <c r="L109" i="6" l="1"/>
  <c r="S109" i="6" s="1"/>
  <c r="S104" i="6"/>
  <c r="O103" i="6" s="1"/>
  <c r="M103" i="6"/>
  <c r="I116" i="6"/>
  <c r="R116" i="6"/>
  <c r="G116" i="6"/>
  <c r="N103" i="6"/>
  <c r="N109" i="6" s="1"/>
  <c r="I115" i="6"/>
  <c r="R115" i="6"/>
  <c r="G115" i="6"/>
  <c r="H115" i="6" s="1"/>
  <c r="E181" i="6"/>
  <c r="J155" i="6"/>
  <c r="K155" i="6"/>
  <c r="B161" i="6"/>
  <c r="P103" i="6"/>
  <c r="B121" i="6"/>
  <c r="A115" i="6"/>
  <c r="B122" i="6"/>
  <c r="A116" i="6"/>
  <c r="L110" i="6"/>
  <c r="N110" i="6" s="1"/>
  <c r="K121" i="6"/>
  <c r="J121" i="6"/>
  <c r="J122" i="6"/>
  <c r="K122" i="6"/>
  <c r="C162" i="6"/>
  <c r="D121" i="6"/>
  <c r="C164" i="6"/>
  <c r="Q158" i="6"/>
  <c r="C163" i="6"/>
  <c r="Q157" i="6"/>
  <c r="D122" i="6"/>
  <c r="F115" i="6"/>
  <c r="H116" i="6"/>
  <c r="F116" i="6"/>
  <c r="I122" i="6" l="1"/>
  <c r="R122" i="6"/>
  <c r="G122" i="6"/>
  <c r="L115" i="6"/>
  <c r="N115" i="6" s="1"/>
  <c r="I121" i="6"/>
  <c r="R121" i="6"/>
  <c r="G121" i="6"/>
  <c r="H121" i="6" s="1"/>
  <c r="E187" i="6"/>
  <c r="K161" i="6"/>
  <c r="J161" i="6"/>
  <c r="B167" i="6"/>
  <c r="M109" i="6"/>
  <c r="B128" i="6"/>
  <c r="A122" i="6"/>
  <c r="B127" i="6"/>
  <c r="A121" i="6"/>
  <c r="S110" i="6"/>
  <c r="P109" i="6" s="1"/>
  <c r="L116" i="6"/>
  <c r="K128" i="6"/>
  <c r="J128" i="6"/>
  <c r="K127" i="6"/>
  <c r="J127" i="6"/>
  <c r="C168" i="6"/>
  <c r="D127" i="6"/>
  <c r="C169" i="6"/>
  <c r="Q163" i="6"/>
  <c r="D128" i="6"/>
  <c r="C170" i="6"/>
  <c r="Q164" i="6"/>
  <c r="F122" i="6"/>
  <c r="H122" i="6"/>
  <c r="F121" i="6"/>
  <c r="I128" i="6" l="1"/>
  <c r="G128" i="6"/>
  <c r="R128" i="6"/>
  <c r="S115" i="6"/>
  <c r="M115" i="6"/>
  <c r="L121" i="6"/>
  <c r="I127" i="6"/>
  <c r="G127" i="6"/>
  <c r="H127" i="6" s="1"/>
  <c r="R127" i="6"/>
  <c r="E193" i="6"/>
  <c r="K167" i="6"/>
  <c r="J167" i="6"/>
  <c r="B173" i="6"/>
  <c r="O109" i="6"/>
  <c r="B134" i="6"/>
  <c r="A128" i="6"/>
  <c r="B133" i="6"/>
  <c r="A127" i="6"/>
  <c r="S116" i="6"/>
  <c r="N121" i="6"/>
  <c r="N116" i="6"/>
  <c r="L122" i="6"/>
  <c r="M121" i="6" s="1"/>
  <c r="K133" i="6"/>
  <c r="J133" i="6"/>
  <c r="K134" i="6"/>
  <c r="J134" i="6"/>
  <c r="C174" i="6"/>
  <c r="C175" i="6"/>
  <c r="Q169" i="6"/>
  <c r="C176" i="6"/>
  <c r="Q170" i="6"/>
  <c r="D133" i="6"/>
  <c r="D134" i="6"/>
  <c r="S121" i="6"/>
  <c r="F127" i="6"/>
  <c r="H128" i="6"/>
  <c r="F128" i="6"/>
  <c r="P115" i="6" l="1"/>
  <c r="I134" i="6"/>
  <c r="G134" i="6"/>
  <c r="R134" i="6"/>
  <c r="L127" i="6"/>
  <c r="N127" i="6" s="1"/>
  <c r="I133" i="6"/>
  <c r="R133" i="6"/>
  <c r="G133" i="6"/>
  <c r="H133" i="6" s="1"/>
  <c r="E199" i="6"/>
  <c r="K173" i="6"/>
  <c r="J173" i="6"/>
  <c r="B179" i="6"/>
  <c r="O115" i="6"/>
  <c r="B139" i="6"/>
  <c r="A133" i="6"/>
  <c r="B140" i="6"/>
  <c r="A134" i="6"/>
  <c r="S122" i="6"/>
  <c r="O121" i="6" s="1"/>
  <c r="N122" i="6"/>
  <c r="L128" i="6"/>
  <c r="K140" i="6"/>
  <c r="J140" i="6"/>
  <c r="K139" i="6"/>
  <c r="J139" i="6"/>
  <c r="C180" i="6"/>
  <c r="Q176" i="6"/>
  <c r="C182" i="6"/>
  <c r="D139" i="6"/>
  <c r="D140" i="6"/>
  <c r="C181" i="6"/>
  <c r="Q175" i="6"/>
  <c r="F133" i="6"/>
  <c r="H134" i="6"/>
  <c r="F134" i="6"/>
  <c r="M127" i="6" l="1"/>
  <c r="S127" i="6"/>
  <c r="I140" i="6"/>
  <c r="G140" i="6"/>
  <c r="R140" i="6"/>
  <c r="L133" i="6"/>
  <c r="S133" i="6" s="1"/>
  <c r="I139" i="6"/>
  <c r="R139" i="6"/>
  <c r="G139" i="6"/>
  <c r="H139" i="6" s="1"/>
  <c r="E205" i="6"/>
  <c r="J179" i="6"/>
  <c r="K179" i="6"/>
  <c r="B185" i="6"/>
  <c r="P121" i="6"/>
  <c r="B146" i="6"/>
  <c r="A140" i="6"/>
  <c r="B145" i="6"/>
  <c r="A139" i="6"/>
  <c r="S128" i="6"/>
  <c r="O127" i="6" s="1"/>
  <c r="L134" i="6"/>
  <c r="N128" i="6"/>
  <c r="K145" i="6"/>
  <c r="J145" i="6"/>
  <c r="K146" i="6"/>
  <c r="J146" i="6"/>
  <c r="C186" i="6"/>
  <c r="C187" i="6"/>
  <c r="Q181" i="6"/>
  <c r="Q182" i="6"/>
  <c r="C188" i="6"/>
  <c r="D146" i="6"/>
  <c r="D145" i="6"/>
  <c r="F139" i="6"/>
  <c r="H140" i="6"/>
  <c r="F140" i="6"/>
  <c r="L139" i="6" l="1"/>
  <c r="I146" i="6"/>
  <c r="R146" i="6"/>
  <c r="G146" i="6"/>
  <c r="N133" i="6"/>
  <c r="M133" i="6"/>
  <c r="I145" i="6"/>
  <c r="R145" i="6"/>
  <c r="G145" i="6"/>
  <c r="H145" i="6" s="1"/>
  <c r="E211" i="6"/>
  <c r="J185" i="6"/>
  <c r="K185" i="6"/>
  <c r="B191" i="6"/>
  <c r="P127" i="6"/>
  <c r="S134" i="6"/>
  <c r="O133" i="6" s="1"/>
  <c r="B152" i="6"/>
  <c r="A146" i="6"/>
  <c r="B151" i="6"/>
  <c r="A145" i="6"/>
  <c r="N134" i="6"/>
  <c r="N139" i="6"/>
  <c r="L140" i="6"/>
  <c r="K152" i="6"/>
  <c r="J152" i="6"/>
  <c r="K151" i="6"/>
  <c r="J151" i="6"/>
  <c r="C192" i="6"/>
  <c r="Q188" i="6"/>
  <c r="C194" i="6"/>
  <c r="D151" i="6"/>
  <c r="D152" i="6"/>
  <c r="C193" i="6"/>
  <c r="Q187" i="6"/>
  <c r="S139" i="6"/>
  <c r="H146" i="6"/>
  <c r="F146" i="6"/>
  <c r="F145" i="6"/>
  <c r="I152" i="6" l="1"/>
  <c r="G152" i="6"/>
  <c r="R152" i="6"/>
  <c r="L145" i="6"/>
  <c r="S145" i="6" s="1"/>
  <c r="I151" i="6"/>
  <c r="G151" i="6"/>
  <c r="H151" i="6" s="1"/>
  <c r="R151" i="6"/>
  <c r="E217" i="6"/>
  <c r="K191" i="6"/>
  <c r="J191" i="6"/>
  <c r="B197" i="6"/>
  <c r="P133" i="6"/>
  <c r="N140" i="6"/>
  <c r="B158" i="6"/>
  <c r="A152" i="6"/>
  <c r="B157" i="6"/>
  <c r="A151" i="6"/>
  <c r="M139" i="6"/>
  <c r="S140" i="6"/>
  <c r="P139" i="6" s="1"/>
  <c r="L146" i="6"/>
  <c r="K158" i="6"/>
  <c r="J158" i="6"/>
  <c r="K157" i="6"/>
  <c r="J157" i="6"/>
  <c r="C198" i="6"/>
  <c r="C199" i="6"/>
  <c r="Q193" i="6"/>
  <c r="D158" i="6"/>
  <c r="D157" i="6"/>
  <c r="Q194" i="6"/>
  <c r="C200" i="6"/>
  <c r="H152" i="6"/>
  <c r="F152" i="6"/>
  <c r="F151" i="6"/>
  <c r="L151" i="6" l="1"/>
  <c r="N145" i="6"/>
  <c r="N151" i="6" s="1"/>
  <c r="I158" i="6"/>
  <c r="R158" i="6"/>
  <c r="G158" i="6"/>
  <c r="M145" i="6"/>
  <c r="I157" i="6"/>
  <c r="R157" i="6"/>
  <c r="G157" i="6"/>
  <c r="H157" i="6" s="1"/>
  <c r="E223" i="6"/>
  <c r="J197" i="6"/>
  <c r="K197" i="6"/>
  <c r="B203" i="6"/>
  <c r="O139" i="6"/>
  <c r="B164" i="6"/>
  <c r="A158" i="6"/>
  <c r="B163" i="6"/>
  <c r="A157" i="6"/>
  <c r="S146" i="6"/>
  <c r="O145" i="6" s="1"/>
  <c r="L152" i="6"/>
  <c r="S152" i="6" s="1"/>
  <c r="N146" i="6"/>
  <c r="K163" i="6"/>
  <c r="J163" i="6"/>
  <c r="K164" i="6"/>
  <c r="J164" i="6"/>
  <c r="C204" i="6"/>
  <c r="D164" i="6"/>
  <c r="Q200" i="6"/>
  <c r="C206" i="6"/>
  <c r="D163" i="6"/>
  <c r="C205" i="6"/>
  <c r="Q199" i="6"/>
  <c r="S151" i="6"/>
  <c r="F157" i="6"/>
  <c r="F158" i="6"/>
  <c r="H158" i="6"/>
  <c r="L157" i="6" l="1"/>
  <c r="I164" i="6"/>
  <c r="G164" i="6"/>
  <c r="R164" i="6"/>
  <c r="I163" i="6"/>
  <c r="R163" i="6"/>
  <c r="G163" i="6"/>
  <c r="H163" i="6" s="1"/>
  <c r="E229" i="6"/>
  <c r="K203" i="6"/>
  <c r="J203" i="6"/>
  <c r="B209" i="6"/>
  <c r="P151" i="6"/>
  <c r="P145" i="6"/>
  <c r="O151" i="6"/>
  <c r="N157" i="6"/>
  <c r="M151" i="6"/>
  <c r="B170" i="6"/>
  <c r="A164" i="6"/>
  <c r="B169" i="6"/>
  <c r="A163" i="6"/>
  <c r="N152" i="6"/>
  <c r="L158" i="6"/>
  <c r="M157" i="6" s="1"/>
  <c r="K170" i="6"/>
  <c r="J170" i="6"/>
  <c r="K169" i="6"/>
  <c r="J169" i="6"/>
  <c r="C210" i="6"/>
  <c r="Q206" i="6"/>
  <c r="C212" i="6"/>
  <c r="D169" i="6"/>
  <c r="C211" i="6"/>
  <c r="Q205" i="6"/>
  <c r="D170" i="6"/>
  <c r="S157" i="6"/>
  <c r="F163" i="6"/>
  <c r="H164" i="6"/>
  <c r="F164" i="6"/>
  <c r="I170" i="6" l="1"/>
  <c r="R170" i="6"/>
  <c r="G170" i="6"/>
  <c r="L163" i="6"/>
  <c r="S163" i="6" s="1"/>
  <c r="I169" i="6"/>
  <c r="R169" i="6"/>
  <c r="G169" i="6"/>
  <c r="H169" i="6" s="1"/>
  <c r="L169" i="6" s="1"/>
  <c r="E235" i="6"/>
  <c r="K209" i="6"/>
  <c r="J209" i="6"/>
  <c r="B215" i="6"/>
  <c r="N158" i="6"/>
  <c r="B176" i="6"/>
  <c r="A176" i="6" s="1"/>
  <c r="A170" i="6"/>
  <c r="B175" i="6"/>
  <c r="A169" i="6"/>
  <c r="S158" i="6"/>
  <c r="P157" i="6" s="1"/>
  <c r="L164" i="6"/>
  <c r="K175" i="6"/>
  <c r="J175" i="6"/>
  <c r="F175" i="6"/>
  <c r="K176" i="6"/>
  <c r="J176" i="6"/>
  <c r="F176" i="6"/>
  <c r="C216" i="6"/>
  <c r="D175" i="6"/>
  <c r="D176" i="6"/>
  <c r="C217" i="6"/>
  <c r="Q211" i="6"/>
  <c r="Q212" i="6"/>
  <c r="C218" i="6"/>
  <c r="H170" i="6"/>
  <c r="F169" i="6"/>
  <c r="F170" i="6"/>
  <c r="I176" i="6" l="1"/>
  <c r="R176" i="6"/>
  <c r="G176" i="6"/>
  <c r="N163" i="6"/>
  <c r="N169" i="6" s="1"/>
  <c r="I175" i="6"/>
  <c r="G175" i="6"/>
  <c r="R175" i="6"/>
  <c r="E241" i="6"/>
  <c r="K215" i="6"/>
  <c r="J215" i="6"/>
  <c r="B221" i="6"/>
  <c r="O157" i="6"/>
  <c r="N164" i="6"/>
  <c r="M163" i="6"/>
  <c r="B182" i="6"/>
  <c r="B181" i="6"/>
  <c r="A175" i="6"/>
  <c r="S164" i="6"/>
  <c r="P163" i="6" s="1"/>
  <c r="L170" i="6"/>
  <c r="M169" i="6" s="1"/>
  <c r="K182" i="6"/>
  <c r="J182" i="6"/>
  <c r="F182" i="6"/>
  <c r="K181" i="6"/>
  <c r="J181" i="6"/>
  <c r="F181" i="6"/>
  <c r="C222" i="6"/>
  <c r="C223" i="6"/>
  <c r="Q223" i="6" s="1"/>
  <c r="Q217" i="6"/>
  <c r="D182" i="6"/>
  <c r="H176" i="6"/>
  <c r="Q218" i="6"/>
  <c r="C224" i="6"/>
  <c r="Q224" i="6" s="1"/>
  <c r="D181" i="6"/>
  <c r="H175" i="6"/>
  <c r="L175" i="6" s="1"/>
  <c r="I182" i="6" l="1"/>
  <c r="G182" i="6"/>
  <c r="R182" i="6"/>
  <c r="I181" i="6"/>
  <c r="R181" i="6"/>
  <c r="G181" i="6"/>
  <c r="H181" i="6" s="1"/>
  <c r="E247" i="6"/>
  <c r="K221" i="6"/>
  <c r="J221" i="6"/>
  <c r="B227" i="6"/>
  <c r="O163" i="6"/>
  <c r="N175" i="6"/>
  <c r="B187" i="6"/>
  <c r="A181" i="6"/>
  <c r="B188" i="6"/>
  <c r="A182" i="6"/>
  <c r="N170" i="6"/>
  <c r="S170" i="6"/>
  <c r="L176" i="6"/>
  <c r="M175" i="6" s="1"/>
  <c r="K188" i="6"/>
  <c r="J188" i="6"/>
  <c r="F188" i="6"/>
  <c r="K187" i="6"/>
  <c r="J187" i="6"/>
  <c r="F187" i="6"/>
  <c r="C228" i="6"/>
  <c r="S175" i="6"/>
  <c r="D188" i="6"/>
  <c r="H182" i="6"/>
  <c r="S169" i="6"/>
  <c r="C230" i="6"/>
  <c r="Q230" i="6" s="1"/>
  <c r="D187" i="6"/>
  <c r="C229" i="6"/>
  <c r="Q229" i="6" s="1"/>
  <c r="I188" i="6" l="1"/>
  <c r="R188" i="6"/>
  <c r="G188" i="6"/>
  <c r="L181" i="6"/>
  <c r="N181" i="6" s="1"/>
  <c r="I187" i="6"/>
  <c r="R187" i="6"/>
  <c r="G187" i="6"/>
  <c r="H187" i="6" s="1"/>
  <c r="E253" i="6"/>
  <c r="J227" i="6"/>
  <c r="K227" i="6"/>
  <c r="B233" i="6"/>
  <c r="P169" i="6"/>
  <c r="O169" i="6"/>
  <c r="B193" i="6"/>
  <c r="A187" i="6"/>
  <c r="B194" i="6"/>
  <c r="A188" i="6"/>
  <c r="N176" i="6"/>
  <c r="L182" i="6"/>
  <c r="K194" i="6"/>
  <c r="J194" i="6"/>
  <c r="F194" i="6"/>
  <c r="K193" i="6"/>
  <c r="J193" i="6"/>
  <c r="F193" i="6"/>
  <c r="C234" i="6"/>
  <c r="C236" i="6"/>
  <c r="Q236" i="6" s="1"/>
  <c r="D194" i="6"/>
  <c r="H188" i="6"/>
  <c r="C235" i="6"/>
  <c r="Q235" i="6" s="1"/>
  <c r="S176" i="6"/>
  <c r="P175" i="6" s="1"/>
  <c r="D193" i="6"/>
  <c r="L187" i="6" l="1"/>
  <c r="N187" i="6" s="1"/>
  <c r="M181" i="6"/>
  <c r="S181" i="6"/>
  <c r="I194" i="6"/>
  <c r="R194" i="6"/>
  <c r="G194" i="6"/>
  <c r="G193" i="6"/>
  <c r="H193" i="6" s="1"/>
  <c r="R193" i="6"/>
  <c r="E259" i="6"/>
  <c r="E265" i="6" s="1"/>
  <c r="I193" i="6"/>
  <c r="J233" i="6"/>
  <c r="K233" i="6"/>
  <c r="B239" i="6"/>
  <c r="O175" i="6"/>
  <c r="S182" i="6"/>
  <c r="P181" i="6" s="1"/>
  <c r="B199" i="6"/>
  <c r="A193" i="6"/>
  <c r="B200" i="6"/>
  <c r="A194" i="6"/>
  <c r="N182" i="6"/>
  <c r="L188" i="6"/>
  <c r="S188" i="6" s="1"/>
  <c r="J199" i="6"/>
  <c r="K199" i="6"/>
  <c r="F199" i="6"/>
  <c r="K200" i="6"/>
  <c r="J200" i="6"/>
  <c r="F200" i="6"/>
  <c r="C240" i="6"/>
  <c r="C241" i="6"/>
  <c r="Q241" i="6" s="1"/>
  <c r="D200" i="6"/>
  <c r="H194" i="6"/>
  <c r="C242" i="6"/>
  <c r="Q242" i="6" s="1"/>
  <c r="D199" i="6"/>
  <c r="I200" i="6" l="1"/>
  <c r="G200" i="6"/>
  <c r="R200" i="6"/>
  <c r="I199" i="6"/>
  <c r="G199" i="6"/>
  <c r="H199" i="6" s="1"/>
  <c r="R199" i="6"/>
  <c r="L193" i="6"/>
  <c r="S193" i="6" s="1"/>
  <c r="J239" i="6"/>
  <c r="K239" i="6"/>
  <c r="B245" i="6"/>
  <c r="O181" i="6"/>
  <c r="B205" i="6"/>
  <c r="A199" i="6"/>
  <c r="B206" i="6"/>
  <c r="A200" i="6"/>
  <c r="N188" i="6"/>
  <c r="L194" i="6"/>
  <c r="M187" i="6"/>
  <c r="K206" i="6"/>
  <c r="J206" i="6"/>
  <c r="F206" i="6"/>
  <c r="J205" i="6"/>
  <c r="K205" i="6"/>
  <c r="F205" i="6"/>
  <c r="C246" i="6"/>
  <c r="D206" i="6"/>
  <c r="H200" i="6"/>
  <c r="S187" i="6"/>
  <c r="C248" i="6"/>
  <c r="Q248" i="6" s="1"/>
  <c r="C247" i="6"/>
  <c r="Q247" i="6" s="1"/>
  <c r="D205" i="6"/>
  <c r="I206" i="6" l="1"/>
  <c r="R206" i="6"/>
  <c r="G206" i="6"/>
  <c r="L199" i="6"/>
  <c r="I205" i="6"/>
  <c r="R205" i="6"/>
  <c r="G205" i="6"/>
  <c r="H205" i="6" s="1"/>
  <c r="M193" i="6"/>
  <c r="N193" i="6"/>
  <c r="K245" i="6"/>
  <c r="J245" i="6"/>
  <c r="B251" i="6"/>
  <c r="P187" i="6"/>
  <c r="O187" i="6"/>
  <c r="B212" i="6"/>
  <c r="A212" i="6" s="1"/>
  <c r="A206" i="6"/>
  <c r="B211" i="6"/>
  <c r="A205" i="6"/>
  <c r="N194" i="6"/>
  <c r="L200" i="6"/>
  <c r="K212" i="6"/>
  <c r="J212" i="6"/>
  <c r="F212" i="6"/>
  <c r="K211" i="6"/>
  <c r="J211" i="6"/>
  <c r="F211" i="6"/>
  <c r="C252" i="6"/>
  <c r="D211" i="6"/>
  <c r="S194" i="6"/>
  <c r="P193" i="6" s="1"/>
  <c r="C253" i="6"/>
  <c r="Q253" i="6" s="1"/>
  <c r="C254" i="6"/>
  <c r="Q254" i="6" s="1"/>
  <c r="D212" i="6"/>
  <c r="H206" i="6"/>
  <c r="M199" i="6" l="1"/>
  <c r="L205" i="6"/>
  <c r="I212" i="6"/>
  <c r="R212" i="6"/>
  <c r="G212" i="6"/>
  <c r="N199" i="6"/>
  <c r="N205" i="6" s="1"/>
  <c r="I211" i="6"/>
  <c r="R211" i="6"/>
  <c r="G211" i="6"/>
  <c r="H211" i="6" s="1"/>
  <c r="K251" i="6"/>
  <c r="J251" i="6"/>
  <c r="B257" i="6"/>
  <c r="O193" i="6"/>
  <c r="S200" i="6"/>
  <c r="B217" i="6"/>
  <c r="A211" i="6"/>
  <c r="B218" i="6"/>
  <c r="N200" i="6"/>
  <c r="L206" i="6"/>
  <c r="K217" i="6"/>
  <c r="J217" i="6"/>
  <c r="F217" i="6"/>
  <c r="K218" i="6"/>
  <c r="J218" i="6"/>
  <c r="F218" i="6"/>
  <c r="C258" i="6"/>
  <c r="S205" i="6"/>
  <c r="D218" i="6"/>
  <c r="H212" i="6"/>
  <c r="C260" i="6"/>
  <c r="Q260" i="6" s="1"/>
  <c r="S199" i="6"/>
  <c r="C259" i="6"/>
  <c r="Q259" i="6" s="1"/>
  <c r="D217" i="6"/>
  <c r="L211" i="6" l="1"/>
  <c r="I218" i="6"/>
  <c r="R218" i="6"/>
  <c r="G218" i="6"/>
  <c r="I217" i="6"/>
  <c r="R217" i="6"/>
  <c r="G217" i="6"/>
  <c r="H217" i="6" s="1"/>
  <c r="K257" i="6"/>
  <c r="J257" i="6"/>
  <c r="B263" i="6"/>
  <c r="N211" i="6"/>
  <c r="P199" i="6"/>
  <c r="O199" i="6"/>
  <c r="B223" i="6"/>
  <c r="A217" i="6"/>
  <c r="B224" i="6"/>
  <c r="A218" i="6"/>
  <c r="S206" i="6"/>
  <c r="P205" i="6" s="1"/>
  <c r="N206" i="6"/>
  <c r="M205" i="6"/>
  <c r="L212" i="6"/>
  <c r="M211" i="6" s="1"/>
  <c r="K224" i="6"/>
  <c r="J224" i="6"/>
  <c r="F224" i="6"/>
  <c r="K223" i="6"/>
  <c r="J223" i="6"/>
  <c r="F223" i="6"/>
  <c r="C264" i="6"/>
  <c r="C266" i="6"/>
  <c r="Q266" i="6" s="1"/>
  <c r="D223" i="6"/>
  <c r="D224" i="6"/>
  <c r="H218" i="6"/>
  <c r="C265" i="6"/>
  <c r="Q265" i="6" s="1"/>
  <c r="G224" i="6" l="1"/>
  <c r="R224" i="6"/>
  <c r="L217" i="6"/>
  <c r="S217" i="6" s="1"/>
  <c r="I223" i="6"/>
  <c r="G223" i="6"/>
  <c r="H223" i="6" s="1"/>
  <c r="R223" i="6"/>
  <c r="K263" i="6"/>
  <c r="J263" i="6"/>
  <c r="I224" i="6"/>
  <c r="O205" i="6"/>
  <c r="B229" i="6"/>
  <c r="A223" i="6"/>
  <c r="N212" i="6"/>
  <c r="B230" i="6"/>
  <c r="A224" i="6"/>
  <c r="L218" i="6"/>
  <c r="J230" i="6"/>
  <c r="K230" i="6"/>
  <c r="F230" i="6"/>
  <c r="K229" i="6"/>
  <c r="J229" i="6"/>
  <c r="F229" i="6"/>
  <c r="D229" i="6"/>
  <c r="D230" i="6"/>
  <c r="H224" i="6"/>
  <c r="S212" i="6"/>
  <c r="S211" i="6"/>
  <c r="G230" i="6" l="1"/>
  <c r="R230" i="6"/>
  <c r="L223" i="6"/>
  <c r="S223" i="6" s="1"/>
  <c r="N217" i="6"/>
  <c r="I229" i="6"/>
  <c r="R229" i="6"/>
  <c r="G229" i="6"/>
  <c r="H229" i="6" s="1"/>
  <c r="I230" i="6"/>
  <c r="P211" i="6"/>
  <c r="O211" i="6"/>
  <c r="N218" i="6"/>
  <c r="B235" i="6"/>
  <c r="A229" i="6"/>
  <c r="B236" i="6"/>
  <c r="A230" i="6"/>
  <c r="S218" i="6"/>
  <c r="O217" i="6" s="1"/>
  <c r="M217" i="6"/>
  <c r="L224" i="6"/>
  <c r="S224" i="6" s="1"/>
  <c r="K236" i="6"/>
  <c r="J236" i="6"/>
  <c r="F236" i="6"/>
  <c r="K235" i="6"/>
  <c r="J235" i="6"/>
  <c r="F235" i="6"/>
  <c r="D236" i="6"/>
  <c r="H230" i="6"/>
  <c r="D235" i="6"/>
  <c r="L229" i="6" l="1"/>
  <c r="N223" i="6"/>
  <c r="N229" i="6" s="1"/>
  <c r="G236" i="6"/>
  <c r="R236" i="6"/>
  <c r="I235" i="6"/>
  <c r="R235" i="6"/>
  <c r="G235" i="6"/>
  <c r="H235" i="6" s="1"/>
  <c r="I236" i="6"/>
  <c r="P223" i="6"/>
  <c r="O223" i="6"/>
  <c r="P217" i="6"/>
  <c r="S229" i="6"/>
  <c r="N224" i="6"/>
  <c r="B242" i="6"/>
  <c r="A236" i="6"/>
  <c r="B241" i="6"/>
  <c r="A235" i="6"/>
  <c r="M223" i="6"/>
  <c r="L230" i="6"/>
  <c r="S230" i="6" s="1"/>
  <c r="K242" i="6"/>
  <c r="J242" i="6"/>
  <c r="F242" i="6"/>
  <c r="J241" i="6"/>
  <c r="K241" i="6"/>
  <c r="F241" i="6"/>
  <c r="D242" i="6"/>
  <c r="H236" i="6"/>
  <c r="D241" i="6"/>
  <c r="R242" i="6" l="1"/>
  <c r="G242" i="6"/>
  <c r="L235" i="6"/>
  <c r="N235" i="6" s="1"/>
  <c r="I241" i="6"/>
  <c r="R241" i="6"/>
  <c r="G241" i="6"/>
  <c r="H241" i="6" s="1"/>
  <c r="I242" i="6"/>
  <c r="P229" i="6"/>
  <c r="O229" i="6"/>
  <c r="N230" i="6"/>
  <c r="B247" i="6"/>
  <c r="A241" i="6"/>
  <c r="B248" i="6"/>
  <c r="A242" i="6"/>
  <c r="M229" i="6"/>
  <c r="L236" i="6"/>
  <c r="K248" i="6"/>
  <c r="J248" i="6"/>
  <c r="F248" i="6"/>
  <c r="J247" i="6"/>
  <c r="K247" i="6"/>
  <c r="F247" i="6"/>
  <c r="D247" i="6"/>
  <c r="D248" i="6"/>
  <c r="H242" i="6"/>
  <c r="S235" i="6" l="1"/>
  <c r="G248" i="6"/>
  <c r="R248" i="6"/>
  <c r="L241" i="6"/>
  <c r="N241" i="6" s="1"/>
  <c r="I247" i="6"/>
  <c r="G247" i="6"/>
  <c r="H247" i="6" s="1"/>
  <c r="R247" i="6"/>
  <c r="I248" i="6"/>
  <c r="M235" i="6"/>
  <c r="S236" i="6"/>
  <c r="P235" i="6" s="1"/>
  <c r="B254" i="6"/>
  <c r="A248" i="6"/>
  <c r="B253" i="6"/>
  <c r="A247" i="6"/>
  <c r="L242" i="6"/>
  <c r="S242" i="6" s="1"/>
  <c r="N236" i="6"/>
  <c r="K254" i="6"/>
  <c r="J254" i="6"/>
  <c r="F254" i="6"/>
  <c r="J253" i="6"/>
  <c r="K253" i="6"/>
  <c r="F253" i="6"/>
  <c r="D254" i="6"/>
  <c r="H248" i="6"/>
  <c r="D253" i="6"/>
  <c r="G254" i="6" l="1"/>
  <c r="R254" i="6"/>
  <c r="L247" i="6"/>
  <c r="N247" i="6" s="1"/>
  <c r="S241" i="6"/>
  <c r="O241" i="6" s="1"/>
  <c r="I253" i="6"/>
  <c r="G253" i="6"/>
  <c r="H253" i="6" s="1"/>
  <c r="R253" i="6"/>
  <c r="I254" i="6"/>
  <c r="O235" i="6"/>
  <c r="B260" i="6"/>
  <c r="A254" i="6"/>
  <c r="B259" i="6"/>
  <c r="A253" i="6"/>
  <c r="M241" i="6"/>
  <c r="N242" i="6"/>
  <c r="L248" i="6"/>
  <c r="S248" i="6" s="1"/>
  <c r="J259" i="6"/>
  <c r="K259" i="6"/>
  <c r="F259" i="6"/>
  <c r="K260" i="6"/>
  <c r="J260" i="6"/>
  <c r="F260" i="6"/>
  <c r="D260" i="6"/>
  <c r="H254" i="6"/>
  <c r="D259" i="6"/>
  <c r="L253" i="6" l="1"/>
  <c r="S247" i="6"/>
  <c r="O247" i="6" s="1"/>
  <c r="G260" i="6"/>
  <c r="R260" i="6"/>
  <c r="P241" i="6"/>
  <c r="R259" i="6"/>
  <c r="G259" i="6"/>
  <c r="I259" i="6"/>
  <c r="I260" i="6"/>
  <c r="P247" i="6"/>
  <c r="N253" i="6"/>
  <c r="S253" i="6"/>
  <c r="B265" i="6"/>
  <c r="A265" i="6" s="1"/>
  <c r="A259" i="6"/>
  <c r="B266" i="6"/>
  <c r="A266" i="6" s="1"/>
  <c r="A260" i="6"/>
  <c r="N248" i="6"/>
  <c r="M247" i="6"/>
  <c r="L254" i="6"/>
  <c r="H259" i="6"/>
  <c r="H260" i="6"/>
  <c r="K265" i="6"/>
  <c r="J265" i="6"/>
  <c r="F265" i="6"/>
  <c r="K266" i="6"/>
  <c r="J266" i="6"/>
  <c r="F266" i="6"/>
  <c r="D265" i="6"/>
  <c r="D266" i="6"/>
  <c r="R266" i="6" l="1"/>
  <c r="G266" i="6"/>
  <c r="R265" i="6"/>
  <c r="G265" i="6"/>
  <c r="E17" i="14"/>
  <c r="C4" i="13"/>
  <c r="C3" i="13"/>
  <c r="I265" i="6"/>
  <c r="I266" i="6"/>
  <c r="O45" i="14"/>
  <c r="N25" i="14"/>
  <c r="R5" i="13"/>
  <c r="Z5" i="13"/>
  <c r="AG5" i="13"/>
  <c r="E30" i="14"/>
  <c r="K26" i="14"/>
  <c r="G25" i="14"/>
  <c r="J43" i="14"/>
  <c r="M32" i="14"/>
  <c r="J23" i="14"/>
  <c r="K4" i="13"/>
  <c r="D3" i="13"/>
  <c r="O14" i="14"/>
  <c r="I29" i="14"/>
  <c r="G28" i="14"/>
  <c r="K32" i="14"/>
  <c r="V5" i="13"/>
  <c r="F19" i="14"/>
  <c r="E18" i="14"/>
  <c r="K17" i="14"/>
  <c r="M19" i="14"/>
  <c r="AK4" i="13"/>
  <c r="F30" i="14"/>
  <c r="D5" i="13"/>
  <c r="I22" i="14"/>
  <c r="K24" i="14"/>
  <c r="L3" i="13"/>
  <c r="F36" i="14"/>
  <c r="T4" i="13"/>
  <c r="F25" i="14"/>
  <c r="S4" i="13"/>
  <c r="P3" i="13"/>
  <c r="E23" i="14"/>
  <c r="F24" i="14"/>
  <c r="I3" i="13"/>
  <c r="M18" i="14"/>
  <c r="I14" i="14"/>
  <c r="I32" i="14"/>
  <c r="N21" i="14"/>
  <c r="N18" i="14"/>
  <c r="F18" i="14"/>
  <c r="K3" i="13"/>
  <c r="I16" i="14"/>
  <c r="N16" i="14"/>
  <c r="N13" i="14"/>
  <c r="I24" i="14"/>
  <c r="J13" i="14"/>
  <c r="H5" i="13"/>
  <c r="J11" i="14"/>
  <c r="J10" i="14"/>
  <c r="G32" i="14"/>
  <c r="O28" i="14"/>
  <c r="F47" i="14"/>
  <c r="K15" i="14"/>
  <c r="E29" i="14"/>
  <c r="I26" i="14"/>
  <c r="O3" i="13"/>
  <c r="F16" i="14"/>
  <c r="K13" i="14"/>
  <c r="F11" i="14"/>
  <c r="M13" i="14"/>
  <c r="I17" i="14"/>
  <c r="AK3" i="13"/>
  <c r="M38" i="14"/>
  <c r="AF5" i="13"/>
  <c r="E28" i="14"/>
  <c r="T3" i="13"/>
  <c r="R4" i="13"/>
  <c r="M14" i="14"/>
  <c r="O47" i="14"/>
  <c r="N4" i="13"/>
  <c r="Q3" i="13"/>
  <c r="N5" i="13"/>
  <c r="J33" i="14"/>
  <c r="M17" i="14"/>
  <c r="AB4" i="13"/>
  <c r="AO4" i="13"/>
  <c r="M31" i="14"/>
  <c r="I20" i="14"/>
  <c r="J15" i="14"/>
  <c r="F3" i="13"/>
  <c r="E13" i="14"/>
  <c r="O11" i="14"/>
  <c r="M48" i="14"/>
  <c r="M37" i="14"/>
  <c r="E45" i="14"/>
  <c r="AG3" i="13"/>
  <c r="N40" i="14"/>
  <c r="E31" i="14"/>
  <c r="N24" i="14"/>
  <c r="N27" i="14"/>
  <c r="G19" i="14"/>
  <c r="L4" i="13"/>
  <c r="E19" i="14"/>
  <c r="L5" i="13"/>
  <c r="I10" i="14"/>
  <c r="F4" i="13"/>
  <c r="F42" i="14"/>
  <c r="E11" i="14"/>
  <c r="H3" i="13"/>
  <c r="O13" i="14"/>
  <c r="J14" i="14"/>
  <c r="G11" i="14"/>
  <c r="E4" i="13"/>
  <c r="I13" i="14"/>
  <c r="AG4" i="13"/>
  <c r="I45" i="14"/>
  <c r="M46" i="14"/>
  <c r="J44" i="14"/>
  <c r="I43" i="14"/>
  <c r="K47" i="14"/>
  <c r="K46" i="14"/>
  <c r="E37" i="14"/>
  <c r="J48" i="14"/>
  <c r="F22" i="14"/>
  <c r="M27" i="14"/>
  <c r="M25" i="14"/>
  <c r="J3" i="13"/>
  <c r="M11" i="14"/>
  <c r="D4" i="13"/>
  <c r="G45" i="14"/>
  <c r="AN4" i="13"/>
  <c r="E39" i="14"/>
  <c r="E36" i="14"/>
  <c r="N34" i="14"/>
  <c r="F31" i="14"/>
  <c r="O23" i="14"/>
  <c r="E21" i="14"/>
  <c r="J19" i="14"/>
  <c r="O46" i="14"/>
  <c r="W4" i="13"/>
  <c r="E26" i="14"/>
  <c r="AN5" i="13"/>
  <c r="J45" i="14"/>
  <c r="M23" i="14"/>
  <c r="N48" i="14"/>
  <c r="I48" i="14"/>
  <c r="J20" i="14"/>
  <c r="G3" i="13"/>
  <c r="N10" i="14"/>
  <c r="I40" i="14"/>
  <c r="E43" i="14"/>
  <c r="J39" i="14"/>
  <c r="G10" i="14"/>
  <c r="M12" i="14"/>
  <c r="K34" i="14"/>
  <c r="F34" i="14"/>
  <c r="E35" i="14"/>
  <c r="AC5" i="13"/>
  <c r="M29" i="14"/>
  <c r="J4" i="13"/>
  <c r="K23" i="14"/>
  <c r="O16" i="14"/>
  <c r="G15" i="14"/>
  <c r="N15" i="14"/>
  <c r="F12" i="14"/>
  <c r="I44" i="14"/>
  <c r="J36" i="14"/>
  <c r="N19" i="14"/>
  <c r="N47" i="14"/>
  <c r="AJ3" i="13"/>
  <c r="F44" i="14"/>
  <c r="K43" i="14"/>
  <c r="AE3" i="13"/>
  <c r="AB5" i="13"/>
  <c r="Z3" i="13"/>
  <c r="P5" i="13"/>
  <c r="G43" i="14"/>
  <c r="F5" i="13"/>
  <c r="G35" i="14"/>
  <c r="N37" i="14"/>
  <c r="M35" i="14"/>
  <c r="E38" i="14"/>
  <c r="O31" i="14"/>
  <c r="I19" i="14"/>
  <c r="G17" i="14"/>
  <c r="M15" i="14"/>
  <c r="I39" i="14"/>
  <c r="O29" i="14"/>
  <c r="N23" i="14"/>
  <c r="F46" i="14"/>
  <c r="M36" i="14"/>
  <c r="J32" i="14"/>
  <c r="O26" i="14"/>
  <c r="R3" i="13"/>
  <c r="M21" i="14"/>
  <c r="E16" i="14"/>
  <c r="G13" i="14"/>
  <c r="K12" i="14"/>
  <c r="J34" i="14"/>
  <c r="K16" i="14"/>
  <c r="G23" i="14"/>
  <c r="M10" i="14"/>
  <c r="F26" i="14"/>
  <c r="AL4" i="13"/>
  <c r="F33" i="14"/>
  <c r="AE5" i="13"/>
  <c r="M4" i="13"/>
  <c r="G44" i="14"/>
  <c r="M16" i="14"/>
  <c r="K25" i="14"/>
  <c r="E47" i="14"/>
  <c r="J16" i="14"/>
  <c r="C5" i="13"/>
  <c r="V4" i="13"/>
  <c r="G22" i="14"/>
  <c r="I5" i="13"/>
  <c r="AD5" i="13"/>
  <c r="K36" i="14"/>
  <c r="O39" i="14"/>
  <c r="I31" i="14"/>
  <c r="I30" i="14"/>
  <c r="M34" i="14"/>
  <c r="N30" i="14"/>
  <c r="I23" i="14"/>
  <c r="E12" i="14"/>
  <c r="I34" i="14"/>
  <c r="O10" i="14"/>
  <c r="J38" i="14"/>
  <c r="K44" i="14"/>
  <c r="G16" i="14"/>
  <c r="G46" i="14"/>
  <c r="J40" i="14"/>
  <c r="G47" i="14"/>
  <c r="I37" i="14"/>
  <c r="M28" i="14"/>
  <c r="O12" i="14"/>
  <c r="I15" i="14"/>
  <c r="I12" i="14"/>
  <c r="M44" i="14"/>
  <c r="O40" i="14"/>
  <c r="M26" i="14"/>
  <c r="O42" i="14"/>
  <c r="I38" i="14"/>
  <c r="AF4" i="13"/>
  <c r="AE4" i="13"/>
  <c r="Y3" i="13"/>
  <c r="F29" i="14"/>
  <c r="J28" i="14"/>
  <c r="N45" i="14"/>
  <c r="AB3" i="13"/>
  <c r="E3" i="13"/>
  <c r="K10" i="14"/>
  <c r="F43" i="14"/>
  <c r="O48" i="14"/>
  <c r="E42" i="14"/>
  <c r="G36" i="14"/>
  <c r="K33" i="14"/>
  <c r="E25" i="14"/>
  <c r="I25" i="14"/>
  <c r="G21" i="14"/>
  <c r="E20" i="14"/>
  <c r="G12" i="14"/>
  <c r="F10" i="14"/>
  <c r="AM5" i="13"/>
  <c r="J18" i="14"/>
  <c r="I28" i="14"/>
  <c r="I21" i="14"/>
  <c r="E22" i="14"/>
  <c r="Q5" i="13"/>
  <c r="G18" i="14"/>
  <c r="N33" i="14"/>
  <c r="M22" i="14"/>
  <c r="G29" i="14"/>
  <c r="AN3" i="13"/>
  <c r="J12" i="14"/>
  <c r="O27" i="14"/>
  <c r="AL3" i="13"/>
  <c r="AF3" i="13"/>
  <c r="AD4" i="13"/>
  <c r="U4" i="13"/>
  <c r="N17" i="14"/>
  <c r="G31" i="14"/>
  <c r="G24" i="14"/>
  <c r="S3" i="13"/>
  <c r="K22" i="14"/>
  <c r="F21" i="14"/>
  <c r="M20" i="14"/>
  <c r="F45" i="14"/>
  <c r="J46" i="14"/>
  <c r="G30" i="14"/>
  <c r="J17" i="14"/>
  <c r="G20" i="14"/>
  <c r="F37" i="14"/>
  <c r="E34" i="14"/>
  <c r="Z4" i="13"/>
  <c r="T5" i="13"/>
  <c r="AO5" i="13"/>
  <c r="G39" i="14"/>
  <c r="F38" i="14"/>
  <c r="AH5" i="13"/>
  <c r="M40" i="14"/>
  <c r="I36" i="14"/>
  <c r="O35" i="14"/>
  <c r="N28" i="14"/>
  <c r="I35" i="14"/>
  <c r="E32" i="14"/>
  <c r="O34" i="14"/>
  <c r="F32" i="14"/>
  <c r="E27" i="14"/>
  <c r="N26" i="14"/>
  <c r="O22" i="14"/>
  <c r="G38" i="14"/>
  <c r="K39" i="14"/>
  <c r="F39" i="14"/>
  <c r="G37" i="14"/>
  <c r="O38" i="14"/>
  <c r="N38" i="14"/>
  <c r="W3" i="13"/>
  <c r="Y4" i="13"/>
  <c r="O4" i="13"/>
  <c r="M24" i="14"/>
  <c r="E15" i="14"/>
  <c r="K5" i="13"/>
  <c r="N43" i="14"/>
  <c r="K45" i="14"/>
  <c r="P4" i="13"/>
  <c r="I4" i="13"/>
  <c r="K29" i="14"/>
  <c r="J47" i="14"/>
  <c r="J5" i="13"/>
  <c r="I47" i="14"/>
  <c r="K21" i="14"/>
  <c r="N42" i="14"/>
  <c r="I41" i="14"/>
  <c r="M43" i="14"/>
  <c r="AI5" i="13"/>
  <c r="AI3" i="13"/>
  <c r="K41" i="14"/>
  <c r="G40" i="14"/>
  <c r="AH4" i="13"/>
  <c r="AJ5" i="13"/>
  <c r="J41" i="14"/>
  <c r="N44" i="14"/>
  <c r="F41" i="14"/>
  <c r="O44" i="14"/>
  <c r="G42" i="14"/>
  <c r="I42" i="14"/>
  <c r="AK5" i="13"/>
  <c r="AL5" i="13"/>
  <c r="K42" i="14"/>
  <c r="G41" i="14"/>
  <c r="M42" i="14"/>
  <c r="AI4" i="13"/>
  <c r="F40" i="14"/>
  <c r="AJ4" i="13"/>
  <c r="O43" i="14"/>
  <c r="J42" i="14"/>
  <c r="AH3" i="13"/>
  <c r="F48" i="14"/>
  <c r="M47" i="14"/>
  <c r="I46" i="14"/>
  <c r="AC3" i="13"/>
  <c r="K35" i="14"/>
  <c r="G34" i="14"/>
  <c r="E33" i="14"/>
  <c r="J22" i="14"/>
  <c r="F15" i="14"/>
  <c r="G26" i="14"/>
  <c r="O20" i="14"/>
  <c r="O5" i="13"/>
  <c r="I18" i="14"/>
  <c r="M5" i="13"/>
  <c r="N12" i="14"/>
  <c r="E41" i="14"/>
  <c r="N46" i="14"/>
  <c r="M45" i="14"/>
  <c r="O41" i="14"/>
  <c r="I33" i="14"/>
  <c r="AA5" i="13"/>
  <c r="F28" i="14"/>
  <c r="N39" i="14"/>
  <c r="AA4" i="13"/>
  <c r="N36" i="14"/>
  <c r="O33" i="14"/>
  <c r="J31" i="14"/>
  <c r="K31" i="14"/>
  <c r="N31" i="14"/>
  <c r="F27" i="14"/>
  <c r="X3" i="13"/>
  <c r="M33" i="14"/>
  <c r="Y5" i="13"/>
  <c r="J29" i="14"/>
  <c r="G27" i="14"/>
  <c r="F20" i="14"/>
  <c r="K18" i="14"/>
  <c r="O17" i="14"/>
  <c r="AM4" i="13"/>
  <c r="O18" i="14"/>
  <c r="N14" i="14"/>
  <c r="K37" i="14"/>
  <c r="X4" i="13"/>
  <c r="J30" i="14"/>
  <c r="N29" i="14"/>
  <c r="U5" i="13"/>
  <c r="E44" i="14"/>
  <c r="F17" i="14"/>
  <c r="O15" i="14"/>
  <c r="E5" i="13"/>
  <c r="I11" i="14"/>
  <c r="N20" i="14"/>
  <c r="K11" i="14"/>
  <c r="AM3" i="13"/>
  <c r="K40" i="14"/>
  <c r="J21" i="14"/>
  <c r="E40" i="14"/>
  <c r="J27" i="14"/>
  <c r="O21" i="14"/>
  <c r="G48" i="14"/>
  <c r="F14" i="14"/>
  <c r="F35" i="14"/>
  <c r="O32" i="14"/>
  <c r="K27" i="14"/>
  <c r="U3" i="13"/>
  <c r="N3" i="13"/>
  <c r="N32" i="14"/>
  <c r="K19" i="14"/>
  <c r="G14" i="14"/>
  <c r="F13" i="14"/>
  <c r="E14" i="14"/>
  <c r="E10" i="14"/>
  <c r="N41" i="14"/>
  <c r="O19" i="14"/>
  <c r="J35" i="14"/>
  <c r="AA3" i="13"/>
  <c r="O37" i="14"/>
  <c r="N35" i="14"/>
  <c r="X5" i="13"/>
  <c r="J24" i="14"/>
  <c r="S5" i="13"/>
  <c r="J37" i="14"/>
  <c r="K30" i="14"/>
  <c r="V3" i="13"/>
  <c r="W5" i="13"/>
  <c r="O30" i="14"/>
  <c r="J26" i="14"/>
  <c r="J25" i="14"/>
  <c r="N22" i="14"/>
  <c r="M39" i="14"/>
  <c r="E24" i="14"/>
  <c r="F23" i="14"/>
  <c r="O24" i="14"/>
  <c r="K20" i="14"/>
  <c r="H4" i="13"/>
  <c r="K14" i="14"/>
  <c r="G4" i="13"/>
  <c r="K48" i="14"/>
  <c r="K38" i="14"/>
  <c r="AD3" i="13"/>
  <c r="G33" i="14"/>
  <c r="M30" i="14"/>
  <c r="Q4" i="13"/>
  <c r="O25" i="14"/>
  <c r="M3" i="13"/>
  <c r="N11" i="14"/>
  <c r="G5" i="13"/>
  <c r="O36" i="14"/>
  <c r="I27" i="14"/>
  <c r="M41" i="14"/>
  <c r="AC4" i="13"/>
  <c r="E46" i="14"/>
  <c r="K28" i="14"/>
  <c r="AO3" i="13"/>
  <c r="E48" i="14"/>
  <c r="M253" i="6"/>
  <c r="I49" i="14" s="1"/>
  <c r="S254" i="6"/>
  <c r="P253" i="6" s="1"/>
  <c r="G49" i="14" s="1"/>
  <c r="N254" i="6"/>
  <c r="L260" i="6"/>
  <c r="S260" i="6" s="1"/>
  <c r="L259" i="6"/>
  <c r="H266" i="6"/>
  <c r="H265" i="6"/>
  <c r="O49" i="14" l="1"/>
  <c r="AP5" i="13"/>
  <c r="M49" i="14"/>
  <c r="K49" i="14"/>
  <c r="AP4" i="13"/>
  <c r="AP3" i="13"/>
  <c r="E49" i="14"/>
  <c r="O253" i="6"/>
  <c r="N49" i="14" s="1"/>
  <c r="N259" i="6"/>
  <c r="S259" i="6"/>
  <c r="M259" i="6"/>
  <c r="N260" i="6"/>
  <c r="L266" i="6"/>
  <c r="S266" i="6" s="1"/>
  <c r="L265" i="6"/>
  <c r="S265" i="6" s="1"/>
  <c r="AQ4" i="13" l="1"/>
  <c r="AQ5" i="13"/>
  <c r="M50" i="14"/>
  <c r="I50" i="14"/>
  <c r="F49" i="14"/>
  <c r="J49" i="14"/>
  <c r="AQ3" i="13"/>
  <c r="E50" i="14"/>
  <c r="O265" i="6"/>
  <c r="P265" i="6"/>
  <c r="P259" i="6"/>
  <c r="O50" i="14" s="1"/>
  <c r="O259" i="6"/>
  <c r="N50" i="14" s="1"/>
  <c r="N266" i="6"/>
  <c r="M265" i="6"/>
  <c r="N265" i="6"/>
  <c r="F50" i="14" l="1"/>
  <c r="J50" i="14"/>
  <c r="G50" i="14"/>
  <c r="K50" i="14"/>
</calcChain>
</file>

<file path=xl/sharedStrings.xml><?xml version="1.0" encoding="utf-8"?>
<sst xmlns="http://schemas.openxmlformats.org/spreadsheetml/2006/main" count="1388" uniqueCount="150">
  <si>
    <t>RoR</t>
  </si>
  <si>
    <t>NAV</t>
  </si>
  <si>
    <t>TCF</t>
  </si>
  <si>
    <t>SSM</t>
  </si>
  <si>
    <t>Total</t>
  </si>
  <si>
    <t>Dep</t>
  </si>
  <si>
    <t>Asset</t>
  </si>
  <si>
    <t>RPI GAV</t>
  </si>
  <si>
    <t>Year</t>
  </si>
  <si>
    <t>Chargable GAV</t>
  </si>
  <si>
    <t>Transmission Running Cost (% of GAV)</t>
  </si>
  <si>
    <t>Site Specific Maintenance Charge (% of GAV)</t>
  </si>
  <si>
    <t>Rate of Return (% of mid-year NAV)</t>
  </si>
  <si>
    <t>Grouped Total</t>
  </si>
  <si>
    <t>TO</t>
  </si>
  <si>
    <t>ROR %</t>
  </si>
  <si>
    <t>NG</t>
  </si>
  <si>
    <t>SPT</t>
  </si>
  <si>
    <t>SHETL</t>
  </si>
  <si>
    <t>Host TO</t>
  </si>
  <si>
    <t>GAV</t>
  </si>
  <si>
    <t>Transformation</t>
  </si>
  <si>
    <t>Indexation</t>
  </si>
  <si>
    <t>IDC assumed to be</t>
  </si>
  <si>
    <t>Assets Grouped by Depreciation</t>
  </si>
  <si>
    <t>Dep Period</t>
  </si>
  <si>
    <t>Security Requirment</t>
  </si>
  <si>
    <t>EOY Age</t>
  </si>
  <si>
    <t>EOY NAV</t>
  </si>
  <si>
    <t>Annual Charge</t>
  </si>
  <si>
    <t>Non Cap Con Type 1</t>
  </si>
  <si>
    <t>Non Cap Con Type 2</t>
  </si>
  <si>
    <t>Cap Con on Completion Type 1</t>
  </si>
  <si>
    <t>Cap Con on Completion Type 2</t>
  </si>
  <si>
    <t>Cap Con during Construction Type 1</t>
  </si>
  <si>
    <t>Cap Con during Construction Type 2</t>
  </si>
  <si>
    <t>Indexation Period</t>
  </si>
  <si>
    <t>Fiscal Year</t>
  </si>
  <si>
    <t xml:space="preserve">YEAR </t>
  </si>
  <si>
    <t xml:space="preserve">SSM </t>
  </si>
  <si>
    <t>Inflation</t>
  </si>
  <si>
    <t>Site Commissioning Date</t>
  </si>
  <si>
    <t>Site Commissioning Fiscal Year</t>
  </si>
  <si>
    <t>Offer Indexation Period</t>
  </si>
  <si>
    <t>Offered Commissioning Date</t>
  </si>
  <si>
    <t>Age</t>
  </si>
  <si>
    <t>No Capital Contribution</t>
  </si>
  <si>
    <t>Capital Contribution on Completion</t>
  </si>
  <si>
    <t>Capital Contribution during construction</t>
  </si>
  <si>
    <t>Charge Type</t>
  </si>
  <si>
    <t>Offer Indexation  Fiscal Year</t>
  </si>
  <si>
    <t>Type 1 (Non Electronic)</t>
  </si>
  <si>
    <t>Type 2 (Electronic)</t>
  </si>
  <si>
    <t>January</t>
  </si>
  <si>
    <t>July</t>
  </si>
  <si>
    <t>*Security is required bi-annualy</t>
  </si>
  <si>
    <t>GAV without IDC</t>
  </si>
  <si>
    <t>With IDC</t>
  </si>
  <si>
    <t>Capital Contribution in your offer?</t>
  </si>
  <si>
    <t>No IDC</t>
  </si>
  <si>
    <t>Where:</t>
  </si>
  <si>
    <t>=</t>
  </si>
  <si>
    <t>Net Asset Valuen (NAVn)2</t>
  </si>
  <si>
    <t>Return Charge</t>
  </si>
  <si>
    <t xml:space="preserve">Partial Capital Contribution Factor (PCCF) </t>
  </si>
  <si>
    <t>Asset Age</t>
  </si>
  <si>
    <t>Age at 1st April each year, rounded up to the nearest year</t>
  </si>
  <si>
    <t>Transmission Running Costs factor</t>
  </si>
  <si>
    <t>The Depreciation Period for Connection Assets will not be more than 40 years but may, by mutual agreement, be less than. This is applicable for electronics and metering assets, but also where refurbished assets are deployed for new connections with prior agreement with Transmission Owner and the User.</t>
  </si>
  <si>
    <t>1 Indexed annually by TOPIn if TOPI indexed asset or by MEA revaluation if MEA indexed asset.
2 NAVn is based on a revalued GAVn</t>
  </si>
  <si>
    <t>Transmission Owner Price Index (TOPI) revaluation method</t>
  </si>
  <si>
    <t>Charging Year</t>
  </si>
  <si>
    <t>When is this paid?</t>
  </si>
  <si>
    <t>GAV with IDC</t>
  </si>
  <si>
    <t xml:space="preserve">IDC Assumed to be </t>
  </si>
  <si>
    <t>If so, when is this payable?</t>
  </si>
  <si>
    <t>Security (Jan)</t>
  </si>
  <si>
    <t>Security (Jul)</t>
  </si>
  <si>
    <t>Illustration of your annual Connection Charge and bi-annual security Liability by Payment Type</t>
  </si>
  <si>
    <t>Forecast</t>
  </si>
  <si>
    <t>Logic (if user has an offer with cap con during construction the GAV will already exclude IDC. If not, the values will need have IDC removed to show all chargable options.  (NGET ONLY)</t>
  </si>
  <si>
    <t>No Capital Contribution (Annual Charge)</t>
  </si>
  <si>
    <t>Capital Contribution on Completion (Annual Charge)</t>
  </si>
  <si>
    <t>Capital Contribution during construction (Annual Charge)</t>
  </si>
  <si>
    <t>Capital Contribution in offer?</t>
  </si>
  <si>
    <r>
      <t>Annual Connection Charge = PCCF x ( DEPGAV</t>
    </r>
    <r>
      <rPr>
        <b/>
        <i/>
        <sz val="10"/>
        <color theme="1" tint="0.249977111117893"/>
        <rFont val="Arial"/>
        <family val="2"/>
      </rPr>
      <t>n</t>
    </r>
    <r>
      <rPr>
        <b/>
        <sz val="10"/>
        <color theme="1" tint="0.249977111117893"/>
        <rFont val="Arial"/>
        <family val="2"/>
      </rPr>
      <t xml:space="preserve"> + ( R</t>
    </r>
    <r>
      <rPr>
        <b/>
        <i/>
        <sz val="10"/>
        <color theme="1" tint="0.249977111117893"/>
        <rFont val="Arial"/>
        <family val="2"/>
      </rPr>
      <t>n</t>
    </r>
    <r>
      <rPr>
        <b/>
        <sz val="10"/>
        <color theme="1" tint="0.249977111117893"/>
        <rFont val="Arial"/>
        <family val="2"/>
      </rPr>
      <t xml:space="preserve"> x NAV</t>
    </r>
    <r>
      <rPr>
        <b/>
        <i/>
        <sz val="10"/>
        <color theme="1" tint="0.249977111117893"/>
        <rFont val="Arial"/>
        <family val="2"/>
      </rPr>
      <t>n</t>
    </r>
    <r>
      <rPr>
        <b/>
        <sz val="10"/>
        <color theme="1" tint="0.249977111117893"/>
        <rFont val="Arial"/>
        <family val="2"/>
      </rPr>
      <t xml:space="preserve"> )) + ( SSM</t>
    </r>
    <r>
      <rPr>
        <b/>
        <i/>
        <sz val="10"/>
        <color theme="1" tint="0.249977111117893"/>
        <rFont val="Arial"/>
        <family val="2"/>
      </rPr>
      <t>n</t>
    </r>
    <r>
      <rPr>
        <b/>
        <sz val="10"/>
        <color theme="1" tint="0.249977111117893"/>
        <rFont val="Arial"/>
        <family val="2"/>
      </rPr>
      <t xml:space="preserve"> x RPIGAV</t>
    </r>
    <r>
      <rPr>
        <b/>
        <i/>
        <sz val="10"/>
        <color theme="1" tint="0.249977111117893"/>
        <rFont val="Arial"/>
        <family val="2"/>
      </rPr>
      <t>n</t>
    </r>
    <r>
      <rPr>
        <b/>
        <sz val="10"/>
        <color theme="1" tint="0.249977111117893"/>
        <rFont val="Arial"/>
        <family val="2"/>
      </rPr>
      <t xml:space="preserve"> ) + ( TRC</t>
    </r>
    <r>
      <rPr>
        <b/>
        <i/>
        <sz val="10"/>
        <color theme="1" tint="0.249977111117893"/>
        <rFont val="Arial"/>
        <family val="2"/>
      </rPr>
      <t>n</t>
    </r>
    <r>
      <rPr>
        <b/>
        <sz val="10"/>
        <color theme="1" tint="0.249977111117893"/>
        <rFont val="Arial"/>
        <family val="2"/>
      </rPr>
      <t xml:space="preserve"> x GAV</t>
    </r>
    <r>
      <rPr>
        <b/>
        <i/>
        <sz val="10"/>
        <color theme="1" tint="0.249977111117893"/>
        <rFont val="Arial"/>
        <family val="2"/>
      </rPr>
      <t>n</t>
    </r>
    <r>
      <rPr>
        <b/>
        <sz val="10"/>
        <color theme="1" tint="0.249977111117893"/>
        <rFont val="Arial"/>
        <family val="2"/>
      </rPr>
      <t xml:space="preserve"> )</t>
    </r>
  </si>
  <si>
    <r>
      <t xml:space="preserve">Gross Asset Value for year </t>
    </r>
    <r>
      <rPr>
        <i/>
        <sz val="10"/>
        <rFont val="Arial"/>
        <family val="2"/>
      </rPr>
      <t xml:space="preserve">n </t>
    </r>
    <r>
      <rPr>
        <sz val="10"/>
        <rFont val="Arial"/>
        <family val="2"/>
      </rPr>
      <t>either TOPI indexed OR Modern Equivalent Asset Value indexed</t>
    </r>
  </si>
  <si>
    <r>
      <t>A factor applied to the Depreciation and Rate of Return charge components to reflect any capital contribution payment made for the Connection Assets deployed, being calculated as follows;
           (GAV</t>
    </r>
    <r>
      <rPr>
        <i/>
        <sz val="10"/>
        <rFont val="Arial"/>
        <family val="2"/>
      </rPr>
      <t>n</t>
    </r>
    <r>
      <rPr>
        <sz val="10"/>
        <rFont val="Arial"/>
        <family val="2"/>
      </rPr>
      <t>- capital contribution payments)/GAV</t>
    </r>
    <r>
      <rPr>
        <i/>
        <sz val="10"/>
        <rFont val="Arial"/>
        <family val="2"/>
      </rPr>
      <t>n</t>
    </r>
  </si>
  <si>
    <r>
      <t xml:space="preserve">( May to October average TOPI Index in year </t>
    </r>
    <r>
      <rPr>
        <i/>
        <sz val="10"/>
        <rFont val="Arial"/>
        <family val="2"/>
      </rPr>
      <t>n</t>
    </r>
    <r>
      <rPr>
        <sz val="10"/>
        <rFont val="Arial"/>
        <family val="2"/>
      </rPr>
      <t xml:space="preserve">-1)/
( May to October average TOPI Index in year </t>
    </r>
    <r>
      <rPr>
        <i/>
        <sz val="10"/>
        <rFont val="Arial"/>
        <family val="2"/>
      </rPr>
      <t>n</t>
    </r>
    <r>
      <rPr>
        <sz val="10"/>
        <rFont val="Arial"/>
        <family val="2"/>
      </rPr>
      <t>-2)</t>
    </r>
  </si>
  <si>
    <r>
      <t>Return x NAV</t>
    </r>
    <r>
      <rPr>
        <i/>
        <sz val="10"/>
        <rFont val="Arial"/>
        <family val="2"/>
      </rPr>
      <t>n</t>
    </r>
    <r>
      <rPr>
        <sz val="10"/>
        <rFont val="Arial"/>
        <family val="2"/>
      </rPr>
      <t xml:space="preserve"> </t>
    </r>
  </si>
  <si>
    <r>
      <t>WACC</t>
    </r>
    <r>
      <rPr>
        <i/>
        <sz val="10"/>
        <rFont val="Arial"/>
        <family val="2"/>
      </rPr>
      <t>n</t>
    </r>
    <r>
      <rPr>
        <sz val="10"/>
        <rFont val="Arial"/>
        <family val="2"/>
      </rPr>
      <t xml:space="preserve"> for TOPI indexed Connection Assets</t>
    </r>
  </si>
  <si>
    <r>
      <t>WACC</t>
    </r>
    <r>
      <rPr>
        <i/>
        <sz val="10"/>
        <rFont val="Arial"/>
        <family val="2"/>
      </rPr>
      <t xml:space="preserve">n </t>
    </r>
    <r>
      <rPr>
        <sz val="10"/>
        <rFont val="Arial"/>
        <family val="2"/>
      </rPr>
      <t>+ 1.5% for MEA indexed Connection Assets</t>
    </r>
  </si>
  <si>
    <r>
      <t>Gross Asset Valuen (GAV</t>
    </r>
    <r>
      <rPr>
        <i/>
        <sz val="10"/>
        <rFont val="Arial"/>
        <family val="2"/>
      </rPr>
      <t>n</t>
    </r>
    <r>
      <rPr>
        <sz val="10"/>
        <rFont val="Arial"/>
        <family val="2"/>
      </rPr>
      <t>)1</t>
    </r>
  </si>
  <si>
    <r>
      <t>RPIGAV</t>
    </r>
    <r>
      <rPr>
        <i/>
        <sz val="10"/>
        <rFont val="Arial"/>
        <family val="2"/>
      </rPr>
      <t>n</t>
    </r>
  </si>
  <si>
    <r>
      <t>Depreciation Charge (DEPGAV</t>
    </r>
    <r>
      <rPr>
        <i/>
        <sz val="10"/>
        <rFont val="Arial"/>
        <family val="2"/>
      </rPr>
      <t>n</t>
    </r>
    <r>
      <rPr>
        <sz val="10"/>
        <rFont val="Arial"/>
        <family val="2"/>
      </rPr>
      <t>)</t>
    </r>
  </si>
  <si>
    <t>Site Specific Maintenance factor</t>
  </si>
  <si>
    <r>
      <t>GAV</t>
    </r>
    <r>
      <rPr>
        <i/>
        <sz val="10"/>
        <rFont val="Arial"/>
        <family val="2"/>
      </rPr>
      <t>n</t>
    </r>
    <r>
      <rPr>
        <sz val="10"/>
        <rFont val="Arial"/>
        <family val="2"/>
      </rPr>
      <t xml:space="preserve"> x 1/asset book life</t>
    </r>
  </si>
  <si>
    <r>
      <t>GAV</t>
    </r>
    <r>
      <rPr>
        <i/>
        <sz val="10"/>
        <rFont val="Arial"/>
        <family val="2"/>
      </rPr>
      <t>n</t>
    </r>
    <r>
      <rPr>
        <sz val="10"/>
        <rFont val="Arial"/>
        <family val="2"/>
      </rPr>
      <t xml:space="preserve"> x (asset book life – 0.5 – Asset Age) / asset book life</t>
    </r>
  </si>
  <si>
    <r>
      <t>Return (R</t>
    </r>
    <r>
      <rPr>
        <i/>
        <sz val="10"/>
        <rFont val="Arial"/>
        <family val="2"/>
      </rPr>
      <t>n</t>
    </r>
    <r>
      <rPr>
        <sz val="10"/>
        <rFont val="Arial"/>
        <family val="2"/>
      </rPr>
      <t>)</t>
    </r>
  </si>
  <si>
    <r>
      <t>RPI</t>
    </r>
    <r>
      <rPr>
        <i/>
        <sz val="10"/>
        <rFont val="Arial"/>
        <family val="2"/>
      </rPr>
      <t>n</t>
    </r>
  </si>
  <si>
    <r>
      <t>SSM</t>
    </r>
    <r>
      <rPr>
        <i/>
        <sz val="10"/>
        <rFont val="Arial"/>
        <family val="2"/>
      </rPr>
      <t>n</t>
    </r>
  </si>
  <si>
    <r>
      <t>TRC</t>
    </r>
    <r>
      <rPr>
        <i/>
        <sz val="10"/>
        <rFont val="Arial"/>
        <family val="2"/>
      </rPr>
      <t>n</t>
    </r>
  </si>
  <si>
    <r>
      <t xml:space="preserve">TOPI indexed Gross Asset Value for year </t>
    </r>
    <r>
      <rPr>
        <i/>
        <sz val="10"/>
        <rFont val="Arial"/>
        <family val="2"/>
      </rPr>
      <t>n</t>
    </r>
    <r>
      <rPr>
        <sz val="10"/>
        <rFont val="Arial"/>
        <family val="2"/>
      </rPr>
      <t>, as utilised for the Site Specific Maintenance</t>
    </r>
  </si>
  <si>
    <t>UID</t>
  </si>
  <si>
    <t>Captial Contribution</t>
  </si>
  <si>
    <t>Payment Due Date</t>
  </si>
  <si>
    <t>Amount</t>
  </si>
  <si>
    <t>Indexed Amount</t>
  </si>
  <si>
    <t>Current Charging Year</t>
  </si>
  <si>
    <t>Date offer received</t>
  </si>
  <si>
    <t>Asset 1</t>
  </si>
  <si>
    <t>Asset 2</t>
  </si>
  <si>
    <t>Asset 3</t>
  </si>
  <si>
    <t>Asset 4</t>
  </si>
  <si>
    <t>Asset 5</t>
  </si>
  <si>
    <t>Asset 6</t>
  </si>
  <si>
    <t>Asset 7</t>
  </si>
  <si>
    <t>Asset 8</t>
  </si>
  <si>
    <t>Asset 9</t>
  </si>
  <si>
    <t>Asset 10</t>
  </si>
  <si>
    <t>Asset 11</t>
  </si>
  <si>
    <t>Asset 12</t>
  </si>
  <si>
    <t>Asset 13</t>
  </si>
  <si>
    <t>Asset 14</t>
  </si>
  <si>
    <t>Asset 15</t>
  </si>
  <si>
    <t>Asset 16</t>
  </si>
  <si>
    <t>Asset 17</t>
  </si>
  <si>
    <t>Asset 18</t>
  </si>
  <si>
    <t>Asset 19</t>
  </si>
  <si>
    <t>Depreciation Period</t>
  </si>
  <si>
    <t>Connection Asset #</t>
  </si>
  <si>
    <t>*Do not overwrite cells in Grey</t>
  </si>
  <si>
    <t>Gross Asset Value</t>
  </si>
  <si>
    <r>
      <t>Indexation</t>
    </r>
    <r>
      <rPr>
        <b/>
        <sz val="10"/>
        <color rgb="FF0070C1"/>
        <rFont val="Arial"/>
        <family val="2"/>
      </rPr>
      <t>**</t>
    </r>
  </si>
  <si>
    <t>Payment</t>
  </si>
  <si>
    <r>
      <rPr>
        <b/>
        <i/>
        <sz val="10"/>
        <color rgb="FF0070C0"/>
        <rFont val="Arial"/>
        <family val="2"/>
      </rPr>
      <t>**</t>
    </r>
    <r>
      <rPr>
        <i/>
        <sz val="10"/>
        <color theme="1" tint="0.249977111117893"/>
        <rFont val="Arial"/>
        <family val="2"/>
      </rPr>
      <t>This can be found in Appendix B e.g. "For indication only, Energy Metering Systems assets, installed for this agreement and as specified in Appendix A Part 3b, the Connection Charge will be at an annual rate for the period from 01/04/2024 to 31/03/2025 of £1,000</t>
    </r>
    <r>
      <rPr>
        <b/>
        <i/>
        <sz val="10"/>
        <color theme="1" tint="0.249977111117893"/>
        <rFont val="Arial"/>
        <family val="2"/>
      </rPr>
      <t xml:space="preserve">, </t>
    </r>
    <r>
      <rPr>
        <b/>
        <i/>
        <sz val="10"/>
        <color rgb="FF0070C1"/>
        <rFont val="Arial"/>
        <family val="2"/>
      </rPr>
      <t>in April 2023 prices</t>
    </r>
    <r>
      <rPr>
        <b/>
        <i/>
        <sz val="10"/>
        <color theme="1" tint="0.249977111117893"/>
        <rFont val="Arial"/>
        <family val="2"/>
      </rPr>
      <t>"</t>
    </r>
  </si>
  <si>
    <t>Yes</t>
  </si>
  <si>
    <t>On Completion</t>
  </si>
  <si>
    <t>No</t>
  </si>
  <si>
    <t>During Construction</t>
  </si>
  <si>
    <t>NA</t>
  </si>
  <si>
    <t>Start</t>
  </si>
  <si>
    <t>=OFFSET(Start,MATCH(Cap_Contrib,Option_Lookup,0),1,COUNTIF(Option_Lookup,Cap_Contrib),1)</t>
  </si>
  <si>
    <t>Charges to be considered</t>
  </si>
  <si>
    <r>
      <rPr>
        <b/>
        <sz val="20"/>
        <rFont val="Arial"/>
        <family val="2"/>
      </rPr>
      <t>Connection Charge Modeller</t>
    </r>
    <r>
      <rPr>
        <sz val="10"/>
        <rFont val="Arial"/>
        <family val="2"/>
      </rPr>
      <t xml:space="preserve">
</t>
    </r>
    <r>
      <rPr>
        <i/>
        <sz val="10"/>
        <rFont val="Arial"/>
        <family val="2"/>
      </rPr>
      <t>This tool allows you to validate your connection offer and provides an indication of your future charges. (New Assets Only)</t>
    </r>
  </si>
  <si>
    <r>
      <rPr>
        <b/>
        <sz val="20"/>
        <rFont val="Arial"/>
        <family val="2"/>
      </rPr>
      <t>Inflate the costs in your offer</t>
    </r>
    <r>
      <rPr>
        <sz val="10"/>
        <rFont val="Arial"/>
        <family val="2"/>
      </rPr>
      <t xml:space="preserve">
</t>
    </r>
    <r>
      <rPr>
        <i/>
        <sz val="10"/>
        <rFont val="Arial"/>
        <family val="2"/>
      </rPr>
      <t xml:space="preserve">Charges in your offer are quoted in a price period. They will be adjusted to reflect indexed CPIH costs in the year of invoicing.
*Indexation can be found in Appendix B e.g. "For indication only, Energy Metering Systems assets, installed for this agreement and as specified in Appendix A Part 3b, the Connection Charge will be at an annual rate for the period from 01/04/2024 to 31/03/2025 of £1,554.51, in June 2020 prices"
</t>
    </r>
  </si>
  <si>
    <r>
      <rPr>
        <b/>
        <sz val="20"/>
        <rFont val="Arial"/>
        <family val="2"/>
      </rPr>
      <t>Review the costs in your offer</t>
    </r>
    <r>
      <rPr>
        <sz val="10"/>
        <rFont val="Arial"/>
        <family val="2"/>
      </rPr>
      <t xml:space="preserve">
</t>
    </r>
    <r>
      <rPr>
        <i/>
        <sz val="10"/>
        <rFont val="Arial"/>
        <family val="2"/>
      </rPr>
      <t>This template uses the same parameters used in your connection agreement. Please update the "User Input" tab before reviewing.</t>
    </r>
  </si>
  <si>
    <r>
      <rPr>
        <b/>
        <sz val="20"/>
        <rFont val="Arial"/>
        <family val="2"/>
      </rPr>
      <t>Annual Connection Charge Calculation</t>
    </r>
    <r>
      <rPr>
        <sz val="10"/>
        <rFont val="Arial"/>
        <family val="2"/>
      </rPr>
      <t xml:space="preserve">
</t>
    </r>
    <r>
      <rPr>
        <i/>
        <sz val="10"/>
        <rFont val="Arial"/>
        <family val="2"/>
      </rPr>
      <t>Annual charges for a given year n from date of Connection Asset commissioning are calculated as:</t>
    </r>
  </si>
  <si>
    <r>
      <rPr>
        <b/>
        <sz val="20"/>
        <rFont val="Arial"/>
        <family val="2"/>
      </rPr>
      <t>Annual Connection Charge Forecast</t>
    </r>
    <r>
      <rPr>
        <sz val="10"/>
        <rFont val="Arial"/>
        <family val="2"/>
      </rPr>
      <t xml:space="preserve">
</t>
    </r>
    <r>
      <rPr>
        <i/>
        <sz val="10"/>
        <rFont val="Arial"/>
        <family val="2"/>
      </rPr>
      <t>This forecast assumes consistent TOPI (inflation), Rate of Return, SSM and TCF where charges are in the future.</t>
    </r>
  </si>
  <si>
    <r>
      <rPr>
        <b/>
        <sz val="20"/>
        <rFont val="Arial"/>
        <family val="2"/>
      </rPr>
      <t>Annual Connection Charge Forecast Summary</t>
    </r>
    <r>
      <rPr>
        <sz val="10"/>
        <rFont val="Arial"/>
        <family val="2"/>
      </rPr>
      <t xml:space="preserve">
</t>
    </r>
    <r>
      <rPr>
        <i/>
        <sz val="10"/>
        <rFont val="Arial"/>
        <family val="2"/>
      </rPr>
      <t>This forecast assumes consistent TOPI (inflation), SSM and TCF where charges are in the future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</si>
</sst>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_(&quot;£&quot;* #,##0.00_);_(&quot;£&quot;* \(#,##0.00\);_(&quot;£&quot;* &quot;-&quot;??_);_(@_)"/>
    <numFmt numFmtId="165" formatCode="&quot;£&quot;#,##0.00"/>
    <numFmt numFmtId="166" formatCode="&quot;£&quot;#,##0"/>
    <numFmt numFmtId="167" formatCode="0.0"/>
  </numFmts>
  <fonts count="40" x14ac:knownFonts="1">
    <font>
      <sz val="10"/>
      <name val="Arial"/>
    </font>
    <font>
      <sz val="11"/>
      <color theme="1"/>
      <name val="Arial"/>
      <family val="2"/>
      <scheme val="minor"/>
    </font>
    <font>
      <sz val="10"/>
      <name val="Arial"/>
      <family val="2"/>
    </font>
    <font>
      <b/>
      <sz val="10"/>
      <name val="Arial"/>
      <family val="2"/>
    </font>
    <font>
      <sz val="10"/>
      <name val="Arial"/>
      <family val="2"/>
    </font>
    <font>
      <sz val="10"/>
      <name val="Helv"/>
    </font>
    <font>
      <u/>
      <sz val="10"/>
      <color indexed="12"/>
      <name val="Helv"/>
    </font>
    <font>
      <sz val="6"/>
      <name val="Arial"/>
      <family val="2"/>
    </font>
    <font>
      <b/>
      <sz val="10"/>
      <color theme="0"/>
      <name val="Arial"/>
      <family val="2"/>
    </font>
    <font>
      <sz val="10"/>
      <color theme="0"/>
      <name val="Arial"/>
      <family val="2"/>
    </font>
    <font>
      <sz val="9"/>
      <name val="Arial"/>
      <family val="2"/>
    </font>
    <font>
      <sz val="10"/>
      <color rgb="FFFF0000"/>
      <name val="Arial"/>
      <family val="2"/>
    </font>
    <font>
      <sz val="10"/>
      <name val="Arial"/>
      <family val="2"/>
    </font>
    <font>
      <sz val="10"/>
      <color theme="1"/>
      <name val="Arial"/>
      <family val="2"/>
    </font>
    <font>
      <b/>
      <sz val="10"/>
      <color theme="1"/>
      <name val="Arial"/>
      <family val="2"/>
    </font>
    <font>
      <sz val="11"/>
      <color theme="0"/>
      <name val="Arial"/>
      <family val="2"/>
      <scheme val="minor"/>
    </font>
    <font>
      <i/>
      <sz val="10"/>
      <name val="Arial"/>
      <family val="2"/>
    </font>
    <font>
      <b/>
      <sz val="9"/>
      <color theme="0"/>
      <name val="Arial"/>
      <family val="2"/>
    </font>
    <font>
      <sz val="8"/>
      <name val="Arial"/>
      <family val="2"/>
    </font>
    <font>
      <sz val="14"/>
      <name val="Arial"/>
      <family val="2"/>
    </font>
    <font>
      <sz val="10"/>
      <color rgb="FFC00000"/>
      <name val="Arial"/>
      <family val="2"/>
    </font>
    <font>
      <i/>
      <sz val="10"/>
      <color rgb="FFC00000"/>
      <name val="Arial"/>
      <family val="2"/>
    </font>
    <font>
      <b/>
      <i/>
      <sz val="10"/>
      <color rgb="FF0070C0"/>
      <name val="Arial"/>
      <family val="2"/>
    </font>
    <font>
      <b/>
      <sz val="10"/>
      <color theme="1" tint="0.249977111117893"/>
      <name val="Arial"/>
      <family val="2"/>
    </font>
    <font>
      <b/>
      <sz val="16"/>
      <color theme="1" tint="0.249977111117893"/>
      <name val="Arial"/>
      <family val="2"/>
    </font>
    <font>
      <sz val="10"/>
      <color theme="1" tint="0.249977111117893"/>
      <name val="Arial"/>
      <family val="2"/>
    </font>
    <font>
      <b/>
      <i/>
      <sz val="10"/>
      <color theme="1" tint="0.249977111117893"/>
      <name val="Arial"/>
      <family val="2"/>
    </font>
    <font>
      <i/>
      <sz val="10"/>
      <color theme="1" tint="0.249977111117893"/>
      <name val="Arial"/>
      <family val="2"/>
    </font>
    <font>
      <b/>
      <sz val="12"/>
      <color theme="1" tint="0.249977111117893"/>
      <name val="Arial"/>
      <family val="2"/>
    </font>
    <font>
      <i/>
      <sz val="14"/>
      <color theme="1" tint="0.249977111117893"/>
      <name val="Arial"/>
      <family val="2"/>
    </font>
    <font>
      <sz val="9"/>
      <color theme="1" tint="0.249977111117893"/>
      <name val="Arial"/>
      <family val="2"/>
    </font>
    <font>
      <sz val="10"/>
      <name val="Arial"/>
      <family val="2"/>
    </font>
    <font>
      <b/>
      <i/>
      <sz val="8"/>
      <color rgb="FFF26522"/>
      <name val="Arial"/>
      <family val="2"/>
    </font>
    <font>
      <sz val="8"/>
      <name val="Arial"/>
      <family val="2"/>
    </font>
    <font>
      <b/>
      <sz val="10"/>
      <color rgb="FF0070C1"/>
      <name val="Arial"/>
      <family val="2"/>
    </font>
    <font>
      <b/>
      <sz val="10"/>
      <color rgb="FF454546"/>
      <name val="Arial"/>
      <family val="2"/>
    </font>
    <font>
      <sz val="10"/>
      <color rgb="FF454546"/>
      <name val="Arial"/>
      <family val="2"/>
    </font>
    <font>
      <b/>
      <i/>
      <sz val="10"/>
      <color rgb="FF0070C1"/>
      <name val="Arial"/>
      <family val="2"/>
    </font>
    <font>
      <b/>
      <sz val="10"/>
      <color rgb="FF002060"/>
      <name val="Arial"/>
      <family val="2"/>
    </font>
    <font>
      <b/>
      <sz val="20"/>
      <name val="Arial"/>
      <family val="2"/>
    </font>
  </fonts>
  <fills count="14">
    <fill>
      <patternFill patternType="none"/>
    </fill>
    <fill>
      <patternFill patternType="gray125"/>
    </fill>
    <fill>
      <patternFill patternType="solid">
        <fgColor theme="0"/>
        <bgColor indexed="64"/>
      </patternFill>
    </fill>
    <fill>
      <patternFill patternType="solid">
        <fgColor rgb="FF55555A"/>
        <bgColor indexed="64"/>
      </patternFill>
    </fill>
    <fill>
      <patternFill patternType="solid">
        <fgColor rgb="FFF0F0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2"/>
        <bgColor indexed="64"/>
      </patternFill>
    </fill>
    <fill>
      <patternFill patternType="solid">
        <fgColor rgb="FF45454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3F0731"/>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diagonal/>
    </border>
    <border>
      <left/>
      <right/>
      <top style="thin">
        <color theme="5" tint="-0.24994659260841701"/>
      </top>
      <bottom style="thin">
        <color theme="5" tint="-0.24994659260841701"/>
      </bottom>
      <diagonal/>
    </border>
    <border>
      <left/>
      <right/>
      <top style="thin">
        <color theme="5" tint="-0.24994659260841701"/>
      </top>
      <bottom/>
      <diagonal/>
    </border>
    <border>
      <left/>
      <right/>
      <top/>
      <bottom style="thin">
        <color theme="5" tint="-0.24994659260841701"/>
      </bottom>
      <diagonal/>
    </border>
    <border>
      <left/>
      <right/>
      <top style="thin">
        <color theme="5" tint="-0.24994659260841701"/>
      </top>
      <bottom style="hair">
        <color theme="5" tint="-0.24994659260841701"/>
      </bottom>
      <diagonal/>
    </border>
    <border>
      <left/>
      <right/>
      <top style="hair">
        <color theme="5" tint="-0.24994659260841701"/>
      </top>
      <bottom/>
      <diagonal/>
    </border>
    <border>
      <left/>
      <right/>
      <top style="hair">
        <color theme="5" tint="-0.24994659260841701"/>
      </top>
      <bottom style="hair">
        <color theme="5" tint="-0.24994659260841701"/>
      </bottom>
      <diagonal/>
    </border>
    <border>
      <left/>
      <right/>
      <top style="hair">
        <color theme="5" tint="-0.24994659260841701"/>
      </top>
      <bottom style="thin">
        <color theme="5" tint="-0.24994659260841701"/>
      </bottom>
      <diagonal/>
    </border>
    <border>
      <left/>
      <right/>
      <top/>
      <bottom style="hair">
        <color theme="5" tint="-0.24994659260841701"/>
      </bottom>
      <diagonal/>
    </border>
    <border>
      <left/>
      <right/>
      <top/>
      <bottom style="medium">
        <color theme="5" tint="-0.24994659260841701"/>
      </bottom>
      <diagonal/>
    </border>
    <border>
      <left/>
      <right/>
      <top style="medium">
        <color theme="5" tint="-0.24994659260841701"/>
      </top>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theme="5" tint="-0.249977111117893"/>
      </left>
      <right style="thin">
        <color theme="5" tint="-0.249977111117893"/>
      </right>
      <top style="thin">
        <color theme="5" tint="-0.249977111117893"/>
      </top>
      <bottom/>
      <diagonal/>
    </border>
    <border>
      <left style="thin">
        <color theme="5" tint="-0.249977111117893"/>
      </left>
      <right style="thin">
        <color theme="5" tint="-0.249977111117893"/>
      </right>
      <top style="hair">
        <color theme="5" tint="-0.24994659260841701"/>
      </top>
      <bottom/>
      <diagonal/>
    </border>
    <border>
      <left style="thin">
        <color theme="5" tint="-0.249977111117893"/>
      </left>
      <right style="thin">
        <color theme="5" tint="-0.249977111117893"/>
      </right>
      <top style="hair">
        <color theme="5" tint="-0.24994659260841701"/>
      </top>
      <bottom style="thin">
        <color theme="5" tint="-0.249977111117893"/>
      </bottom>
      <diagonal/>
    </border>
  </borders>
  <cellStyleXfs count="18">
    <xf numFmtId="0" fontId="0" fillId="0" borderId="0"/>
    <xf numFmtId="164" fontId="4" fillId="0" borderId="0" applyFont="0" applyFill="0" applyBorder="0" applyAlignment="0" applyProtection="0"/>
    <xf numFmtId="44" fontId="2" fillId="0" borderId="0" applyFont="0" applyFill="0" applyBorder="0" applyAlignment="0" applyProtection="0"/>
    <xf numFmtId="0" fontId="1" fillId="0" borderId="0"/>
    <xf numFmtId="44" fontId="1" fillId="0" borderId="0" applyFont="0" applyFill="0" applyBorder="0" applyAlignment="0" applyProtection="0"/>
    <xf numFmtId="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5" fillId="0" borderId="0"/>
    <xf numFmtId="0" fontId="7"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12" fillId="0" borderId="0" applyFont="0" applyFill="0" applyBorder="0" applyAlignment="0" applyProtection="0"/>
    <xf numFmtId="9" fontId="31" fillId="0" borderId="0" applyFont="0" applyFill="0" applyBorder="0" applyAlignment="0" applyProtection="0"/>
  </cellStyleXfs>
  <cellXfs count="257">
    <xf numFmtId="0" fontId="0" fillId="0" borderId="0" xfId="0"/>
    <xf numFmtId="0" fontId="10" fillId="2" borderId="0" xfId="0" applyFont="1" applyFill="1" applyAlignment="1">
      <alignment vertical="center" wrapText="1"/>
    </xf>
    <xf numFmtId="0" fontId="3" fillId="2" borderId="0" xfId="0" applyFont="1" applyFill="1" applyAlignment="1">
      <alignment vertical="center"/>
    </xf>
    <xf numFmtId="0" fontId="3" fillId="0" borderId="0" xfId="0" applyFont="1" applyFill="1" applyAlignment="1">
      <alignment vertical="center"/>
    </xf>
    <xf numFmtId="0" fontId="3" fillId="0" borderId="0" xfId="0" applyFont="1"/>
    <xf numFmtId="0" fontId="2" fillId="0" borderId="0" xfId="0" applyFont="1"/>
    <xf numFmtId="44" fontId="0" fillId="0" borderId="0" xfId="16" applyFont="1"/>
    <xf numFmtId="0" fontId="13" fillId="6" borderId="0" xfId="0" applyFont="1" applyFill="1" applyAlignment="1">
      <alignment horizontal="left" vertical="center"/>
    </xf>
    <xf numFmtId="44" fontId="13" fillId="6" borderId="0" xfId="16" applyFont="1" applyFill="1" applyAlignment="1">
      <alignment horizontal="left" vertical="center"/>
    </xf>
    <xf numFmtId="0" fontId="14" fillId="6" borderId="0" xfId="0" applyFont="1" applyFill="1" applyAlignment="1">
      <alignment horizontal="left" vertical="center"/>
    </xf>
    <xf numFmtId="0" fontId="11" fillId="0" borderId="0" xfId="0" applyFont="1"/>
    <xf numFmtId="0" fontId="15" fillId="7" borderId="0" xfId="0" applyFont="1" applyFill="1"/>
    <xf numFmtId="0" fontId="0" fillId="0" borderId="0" xfId="0" applyNumberFormat="1"/>
    <xf numFmtId="44" fontId="0" fillId="0" borderId="0" xfId="0" applyNumberFormat="1"/>
    <xf numFmtId="0" fontId="9" fillId="3" borderId="0" xfId="0" applyFont="1" applyFill="1"/>
    <xf numFmtId="0" fontId="3" fillId="0" borderId="0" xfId="0" applyNumberFormat="1" applyFont="1"/>
    <xf numFmtId="10" fontId="2" fillId="4" borderId="0" xfId="0" applyNumberFormat="1" applyFont="1" applyFill="1" applyBorder="1" applyAlignment="1">
      <alignment horizontal="center" vertical="center"/>
    </xf>
    <xf numFmtId="0" fontId="9" fillId="2" borderId="0" xfId="0" applyFont="1" applyFill="1" applyBorder="1" applyAlignment="1">
      <alignment vertical="center"/>
    </xf>
    <xf numFmtId="0" fontId="0" fillId="0" borderId="2" xfId="0" applyBorder="1"/>
    <xf numFmtId="0" fontId="9" fillId="2" borderId="0" xfId="0" applyFont="1" applyFill="1" applyAlignment="1">
      <alignment vertical="center"/>
    </xf>
    <xf numFmtId="0" fontId="8" fillId="2" borderId="0" xfId="0" applyFont="1" applyFill="1" applyAlignment="1">
      <alignment vertical="center"/>
    </xf>
    <xf numFmtId="166" fontId="9" fillId="2" borderId="0" xfId="0" applyNumberFormat="1" applyFont="1" applyFill="1" applyAlignment="1">
      <alignment vertical="center"/>
    </xf>
    <xf numFmtId="0" fontId="9" fillId="0" borderId="0" xfId="0" applyFont="1" applyFill="1" applyAlignment="1">
      <alignment vertical="center"/>
    </xf>
    <xf numFmtId="0" fontId="2" fillId="0" borderId="2" xfId="0" applyFont="1" applyBorder="1"/>
    <xf numFmtId="0" fontId="9" fillId="0" borderId="0" xfId="0" applyFont="1"/>
    <xf numFmtId="0" fontId="3" fillId="0" borderId="0" xfId="0" applyFont="1" applyAlignment="1">
      <alignment horizontal="center" vertical="center"/>
    </xf>
    <xf numFmtId="0" fontId="9" fillId="3" borderId="0" xfId="0" applyFont="1" applyFill="1" applyBorder="1" applyAlignment="1">
      <alignment horizontal="center" vertical="center"/>
    </xf>
    <xf numFmtId="0" fontId="15" fillId="7" borderId="2" xfId="0" applyFont="1" applyFill="1" applyBorder="1"/>
    <xf numFmtId="3" fontId="11" fillId="0" borderId="0" xfId="0" applyNumberFormat="1" applyFont="1"/>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17" fillId="2" borderId="0" xfId="0" applyFont="1" applyFill="1" applyBorder="1" applyAlignment="1">
      <alignment horizontal="right" vertical="center"/>
    </xf>
    <xf numFmtId="166" fontId="2" fillId="4" borderId="0" xfId="0" applyNumberFormat="1" applyFont="1" applyFill="1" applyBorder="1" applyAlignment="1">
      <alignment horizontal="center" vertical="center"/>
    </xf>
    <xf numFmtId="0" fontId="3" fillId="2"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center" vertical="center"/>
    </xf>
    <xf numFmtId="166" fontId="2" fillId="2" borderId="0" xfId="0" applyNumberFormat="1" applyFont="1" applyFill="1" applyBorder="1" applyAlignment="1">
      <alignment horizontal="center" vertical="center"/>
    </xf>
    <xf numFmtId="0" fontId="9" fillId="2" borderId="0" xfId="0" applyFont="1" applyFill="1" applyAlignment="1">
      <alignment horizontal="center" vertical="center"/>
    </xf>
    <xf numFmtId="165" fontId="2" fillId="2" borderId="0" xfId="0" applyNumberFormat="1" applyFont="1" applyFill="1" applyAlignment="1">
      <alignment horizontal="center" vertical="center"/>
    </xf>
    <xf numFmtId="166" fontId="9" fillId="3" borderId="0" xfId="0" applyNumberFormat="1" applyFont="1" applyFill="1" applyBorder="1" applyAlignment="1">
      <alignment horizontal="center" vertical="center"/>
    </xf>
    <xf numFmtId="0" fontId="8" fillId="2" borderId="0" xfId="0" applyFont="1" applyFill="1" applyBorder="1" applyAlignment="1">
      <alignment horizontal="center" vertical="center"/>
    </xf>
    <xf numFmtId="44" fontId="14" fillId="6" borderId="0" xfId="0" applyNumberFormat="1" applyFont="1" applyFill="1" applyAlignment="1">
      <alignment horizontal="left" vertical="center"/>
    </xf>
    <xf numFmtId="0" fontId="18" fillId="2" borderId="0" xfId="0" applyFont="1" applyFill="1" applyAlignment="1">
      <alignment vertical="center"/>
    </xf>
    <xf numFmtId="0" fontId="17" fillId="2" borderId="0" xfId="0" applyFont="1" applyFill="1" applyBorder="1" applyAlignment="1">
      <alignment horizontal="right" vertical="center"/>
    </xf>
    <xf numFmtId="0" fontId="2" fillId="0" borderId="0" xfId="0" applyFont="1" applyFill="1" applyBorder="1" applyAlignment="1">
      <alignment vertical="top" wrapText="1"/>
    </xf>
    <xf numFmtId="0" fontId="0" fillId="0" borderId="0" xfId="0" applyAlignment="1">
      <alignment horizontal="center" vertical="center"/>
    </xf>
    <xf numFmtId="44" fontId="0" fillId="0" borderId="0" xfId="16" applyFont="1" applyAlignment="1">
      <alignment horizontal="center" vertical="center"/>
    </xf>
    <xf numFmtId="0" fontId="19" fillId="2" borderId="0" xfId="0" applyFont="1" applyFill="1" applyAlignment="1">
      <alignment horizontal="left" vertical="top" wrapText="1"/>
    </xf>
    <xf numFmtId="0" fontId="2" fillId="2" borderId="0" xfId="0" applyFont="1" applyFill="1" applyBorder="1" applyAlignment="1">
      <alignment horizontal="left" vertical="center"/>
    </xf>
    <xf numFmtId="0" fontId="8" fillId="2" borderId="0" xfId="0" applyFont="1" applyFill="1" applyBorder="1" applyAlignment="1">
      <alignment horizontal="right" vertical="center"/>
    </xf>
    <xf numFmtId="0" fontId="2" fillId="2" borderId="3" xfId="0" applyFont="1" applyFill="1" applyBorder="1" applyAlignment="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0" fillId="0" borderId="0" xfId="0" applyFill="1" applyBorder="1" applyAlignment="1">
      <alignment horizontal="center" vertical="center"/>
    </xf>
    <xf numFmtId="0" fontId="8"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0" xfId="0" applyFont="1" applyBorder="1"/>
    <xf numFmtId="0" fontId="2" fillId="2" borderId="0" xfId="0" applyFont="1" applyFill="1" applyBorder="1"/>
    <xf numFmtId="0" fontId="2" fillId="0" borderId="7" xfId="0" applyFont="1" applyBorder="1"/>
    <xf numFmtId="0" fontId="2" fillId="0" borderId="8" xfId="0" applyFont="1" applyBorder="1"/>
    <xf numFmtId="0" fontId="2" fillId="0" borderId="0" xfId="0" applyFont="1" applyAlignment="1">
      <alignment vertical="center" wrapText="1"/>
    </xf>
    <xf numFmtId="0" fontId="2" fillId="5" borderId="8" xfId="0" applyNumberFormat="1" applyFont="1" applyFill="1" applyBorder="1" applyAlignment="1">
      <alignment horizontal="center" vertical="center"/>
    </xf>
    <xf numFmtId="17" fontId="2" fillId="5" borderId="10" xfId="0" applyNumberFormat="1" applyFont="1" applyFill="1" applyBorder="1" applyAlignment="1">
      <alignment horizontal="center" vertical="center"/>
    </xf>
    <xf numFmtId="0" fontId="2" fillId="5" borderId="10"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3" fillId="8" borderId="5" xfId="0" applyFont="1" applyFill="1" applyBorder="1" applyAlignment="1">
      <alignment horizontal="center" vertical="center"/>
    </xf>
    <xf numFmtId="0" fontId="24" fillId="0" borderId="0" xfId="0" applyFont="1" applyFill="1" applyBorder="1" applyAlignment="1">
      <alignment vertical="center"/>
    </xf>
    <xf numFmtId="0" fontId="23" fillId="0" borderId="6" xfId="0" applyFont="1" applyFill="1" applyBorder="1" applyAlignment="1">
      <alignment horizontal="center" vertical="center"/>
    </xf>
    <xf numFmtId="0" fontId="9" fillId="3" borderId="7" xfId="0" applyFont="1" applyFill="1" applyBorder="1" applyAlignment="1">
      <alignment horizontal="center" vertical="center"/>
    </xf>
    <xf numFmtId="166" fontId="9" fillId="3" borderId="7" xfId="0" applyNumberFormat="1" applyFont="1" applyFill="1" applyBorder="1" applyAlignment="1">
      <alignment horizontal="center" vertical="center"/>
    </xf>
    <xf numFmtId="166" fontId="2" fillId="4" borderId="7" xfId="0" applyNumberFormat="1" applyFont="1" applyFill="1" applyBorder="1" applyAlignment="1">
      <alignment horizontal="center" vertical="center"/>
    </xf>
    <xf numFmtId="0" fontId="9" fillId="3" borderId="9" xfId="0" applyFont="1" applyFill="1" applyBorder="1" applyAlignment="1">
      <alignment horizontal="center" vertical="center"/>
    </xf>
    <xf numFmtId="166" fontId="9" fillId="3" borderId="9" xfId="0" applyNumberFormat="1" applyFont="1" applyFill="1" applyBorder="1" applyAlignment="1">
      <alignment horizontal="center" vertical="center"/>
    </xf>
    <xf numFmtId="166" fontId="2" fillId="4" borderId="9" xfId="0" applyNumberFormat="1" applyFont="1" applyFill="1" applyBorder="1" applyAlignment="1">
      <alignment horizontal="center" vertical="center"/>
    </xf>
    <xf numFmtId="0" fontId="9" fillId="3" borderId="12" xfId="0" applyFont="1" applyFill="1" applyBorder="1" applyAlignment="1">
      <alignment horizontal="center" vertical="center"/>
    </xf>
    <xf numFmtId="166" fontId="9" fillId="3" borderId="12" xfId="0" applyNumberFormat="1" applyFont="1" applyFill="1" applyBorder="1" applyAlignment="1">
      <alignment horizontal="center" vertical="center"/>
    </xf>
    <xf numFmtId="166" fontId="2" fillId="4" borderId="12" xfId="0" applyNumberFormat="1" applyFont="1" applyFill="1" applyBorder="1" applyAlignment="1">
      <alignment horizontal="center" vertical="center"/>
    </xf>
    <xf numFmtId="0" fontId="9" fillId="3" borderId="6" xfId="0" applyFont="1" applyFill="1" applyBorder="1" applyAlignment="1">
      <alignment horizontal="center" vertical="center"/>
    </xf>
    <xf numFmtId="166" fontId="9" fillId="3" borderId="6" xfId="0" applyNumberFormat="1" applyFont="1" applyFill="1" applyBorder="1" applyAlignment="1">
      <alignment horizontal="center" vertical="center"/>
    </xf>
    <xf numFmtId="166" fontId="2" fillId="4" borderId="6" xfId="0" applyNumberFormat="1" applyFont="1" applyFill="1" applyBorder="1" applyAlignment="1">
      <alignment horizontal="center" vertical="center"/>
    </xf>
    <xf numFmtId="0" fontId="25" fillId="0" borderId="6"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5" fillId="0" borderId="9"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8" xfId="0" applyFont="1" applyFill="1" applyBorder="1" applyAlignment="1">
      <alignment vertical="center"/>
    </xf>
    <xf numFmtId="0" fontId="25" fillId="0" borderId="10" xfId="0" applyFont="1" applyFill="1" applyBorder="1" applyAlignment="1">
      <alignment vertical="center"/>
    </xf>
    <xf numFmtId="0" fontId="25" fillId="0" borderId="11" xfId="0" applyFont="1" applyFill="1" applyBorder="1" applyAlignment="1">
      <alignment vertical="center"/>
    </xf>
    <xf numFmtId="0" fontId="17" fillId="2" borderId="0" xfId="0" applyFont="1" applyFill="1" applyBorder="1" applyAlignment="1">
      <alignment vertical="center"/>
    </xf>
    <xf numFmtId="44" fontId="2" fillId="2" borderId="0" xfId="16" applyFont="1" applyFill="1" applyBorder="1" applyAlignment="1">
      <alignment vertical="center"/>
    </xf>
    <xf numFmtId="0" fontId="28" fillId="0" borderId="5" xfId="0" applyFont="1" applyFill="1" applyBorder="1" applyAlignment="1">
      <alignment vertical="center"/>
    </xf>
    <xf numFmtId="0" fontId="2" fillId="2" borderId="13" xfId="0" applyFont="1" applyFill="1" applyBorder="1" applyAlignment="1">
      <alignment vertical="center"/>
    </xf>
    <xf numFmtId="0" fontId="2" fillId="0" borderId="0" xfId="0" applyFont="1" applyAlignment="1">
      <alignment wrapText="1"/>
    </xf>
    <xf numFmtId="0" fontId="29" fillId="0" borderId="0" xfId="0" applyFont="1" applyFill="1" applyBorder="1" applyAlignment="1">
      <alignment horizontal="left" vertical="top" wrapText="1"/>
    </xf>
    <xf numFmtId="0" fontId="29" fillId="0" borderId="0" xfId="0" applyFont="1" applyFill="1" applyBorder="1" applyAlignment="1">
      <alignment horizontal="center" vertical="top" wrapText="1"/>
    </xf>
    <xf numFmtId="0" fontId="26" fillId="2" borderId="0" xfId="0" applyFont="1" applyFill="1" applyAlignment="1">
      <alignment vertical="top"/>
    </xf>
    <xf numFmtId="0" fontId="2" fillId="2" borderId="8" xfId="0" applyFont="1" applyFill="1" applyBorder="1" applyAlignment="1">
      <alignment vertical="center"/>
    </xf>
    <xf numFmtId="0" fontId="19" fillId="2" borderId="8" xfId="0" applyFont="1" applyFill="1" applyBorder="1" applyAlignment="1">
      <alignment horizontal="left" vertical="center" wrapText="1"/>
    </xf>
    <xf numFmtId="0" fontId="2" fillId="2" borderId="10" xfId="0" applyFont="1" applyFill="1" applyBorder="1" applyAlignment="1">
      <alignment vertical="center"/>
    </xf>
    <xf numFmtId="0" fontId="19" fillId="2" borderId="10" xfId="0" applyFont="1" applyFill="1" applyBorder="1" applyAlignment="1">
      <alignment horizontal="left" vertical="center" wrapText="1"/>
    </xf>
    <xf numFmtId="0" fontId="2" fillId="2" borderId="10" xfId="0" applyFont="1" applyFill="1" applyBorder="1" applyAlignment="1">
      <alignment vertical="center" wrapText="1"/>
    </xf>
    <xf numFmtId="0" fontId="19" fillId="2" borderId="10" xfId="0" applyFont="1" applyFill="1" applyBorder="1" applyAlignment="1">
      <alignment horizontal="left" vertical="top"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11" xfId="0" applyFont="1" applyFill="1" applyBorder="1" applyAlignment="1">
      <alignment horizontal="left" vertical="top" wrapText="1"/>
    </xf>
    <xf numFmtId="0" fontId="23" fillId="2" borderId="4" xfId="0" applyFont="1" applyFill="1" applyBorder="1" applyAlignment="1">
      <alignment vertical="center" wrapText="1"/>
    </xf>
    <xf numFmtId="0" fontId="23" fillId="2" borderId="0" xfId="0" applyFont="1" applyFill="1" applyAlignment="1">
      <alignment vertical="center" wrapText="1"/>
    </xf>
    <xf numFmtId="0" fontId="3" fillId="2" borderId="5" xfId="0" applyFont="1" applyFill="1" applyBorder="1" applyAlignment="1">
      <alignment horizontal="left" vertical="center"/>
    </xf>
    <xf numFmtId="0" fontId="23" fillId="0" borderId="5" xfId="0" applyFont="1" applyFill="1" applyBorder="1" applyAlignment="1">
      <alignment horizontal="center" vertical="center" wrapText="1"/>
    </xf>
    <xf numFmtId="167" fontId="9" fillId="3" borderId="6" xfId="0" applyNumberFormat="1" applyFont="1" applyFill="1" applyBorder="1" applyAlignment="1">
      <alignment horizontal="center" vertical="center"/>
    </xf>
    <xf numFmtId="167" fontId="9" fillId="3" borderId="12" xfId="0" applyNumberFormat="1" applyFont="1" applyFill="1" applyBorder="1" applyAlignment="1">
      <alignment horizontal="center" vertical="center"/>
    </xf>
    <xf numFmtId="1" fontId="9" fillId="3" borderId="6" xfId="0" applyNumberFormat="1" applyFont="1" applyFill="1" applyBorder="1" applyAlignment="1">
      <alignment horizontal="center" vertical="center"/>
    </xf>
    <xf numFmtId="1" fontId="9" fillId="3" borderId="12" xfId="0" applyNumberFormat="1" applyFont="1" applyFill="1" applyBorder="1" applyAlignment="1">
      <alignment horizontal="center" vertical="center"/>
    </xf>
    <xf numFmtId="0" fontId="25" fillId="2" borderId="0" xfId="0" applyFont="1" applyFill="1" applyAlignment="1">
      <alignment horizontal="center" vertical="center"/>
    </xf>
    <xf numFmtId="9" fontId="30" fillId="4" borderId="0" xfId="0" applyNumberFormat="1" applyFont="1" applyFill="1" applyAlignment="1">
      <alignment horizontal="center" vertical="center" wrapText="1"/>
    </xf>
    <xf numFmtId="0" fontId="30" fillId="2" borderId="0" xfId="0" applyFont="1" applyFill="1" applyAlignment="1">
      <alignment horizontal="center" vertical="center" wrapText="1"/>
    </xf>
    <xf numFmtId="0" fontId="27" fillId="2" borderId="1" xfId="0" applyFont="1" applyFill="1" applyBorder="1" applyAlignment="1">
      <alignment horizontal="center" vertical="center"/>
    </xf>
    <xf numFmtId="10" fontId="25" fillId="4" borderId="0" xfId="0" applyNumberFormat="1" applyFont="1" applyFill="1" applyAlignment="1">
      <alignment horizontal="center" vertical="center"/>
    </xf>
    <xf numFmtId="0" fontId="26" fillId="2" borderId="0" xfId="0" applyFont="1" applyFill="1" applyAlignment="1">
      <alignment vertical="center"/>
    </xf>
    <xf numFmtId="1" fontId="2" fillId="4" borderId="6" xfId="0" applyNumberFormat="1" applyFont="1" applyFill="1" applyBorder="1" applyAlignment="1">
      <alignment horizontal="center" vertical="center"/>
    </xf>
    <xf numFmtId="1" fontId="2" fillId="4" borderId="12" xfId="0" applyNumberFormat="1" applyFont="1" applyFill="1" applyBorder="1" applyAlignment="1">
      <alignment horizontal="center" vertical="center"/>
    </xf>
    <xf numFmtId="0" fontId="0" fillId="0" borderId="0" xfId="0" applyAlignment="1">
      <alignment horizontal="center" vertical="center" wrapText="1"/>
    </xf>
    <xf numFmtId="3" fontId="2" fillId="4" borderId="12" xfId="0" applyNumberFormat="1" applyFont="1" applyFill="1" applyBorder="1" applyAlignment="1">
      <alignment horizontal="center" vertical="center"/>
    </xf>
    <xf numFmtId="0" fontId="25" fillId="0" borderId="11" xfId="0" applyNumberFormat="1" applyFont="1" applyFill="1" applyBorder="1" applyAlignment="1" applyProtection="1">
      <alignment horizontal="left" vertical="center"/>
    </xf>
    <xf numFmtId="166" fontId="2" fillId="4" borderId="11" xfId="0" applyNumberFormat="1" applyFont="1" applyFill="1" applyBorder="1" applyAlignment="1">
      <alignment horizontal="center" vertical="center"/>
    </xf>
    <xf numFmtId="0" fontId="2" fillId="2" borderId="0" xfId="0" applyFont="1" applyFill="1" applyAlignment="1">
      <alignment horizontal="center" vertical="center"/>
    </xf>
    <xf numFmtId="166" fontId="2" fillId="4" borderId="6" xfId="0" applyNumberFormat="1" applyFont="1" applyFill="1" applyBorder="1" applyAlignment="1">
      <alignment horizontal="center" vertical="center"/>
    </xf>
    <xf numFmtId="166" fontId="2" fillId="4" borderId="12" xfId="0" applyNumberFormat="1" applyFont="1" applyFill="1" applyBorder="1" applyAlignment="1">
      <alignment horizontal="center" vertical="center"/>
    </xf>
    <xf numFmtId="0" fontId="25" fillId="2" borderId="0" xfId="0" applyFont="1" applyFill="1" applyBorder="1" applyAlignment="1">
      <alignment horizontal="left" vertical="center" wrapText="1"/>
    </xf>
    <xf numFmtId="14" fontId="2" fillId="5" borderId="10" xfId="0" applyNumberFormat="1" applyFont="1" applyFill="1" applyBorder="1" applyAlignment="1">
      <alignment horizontal="center" vertical="center"/>
    </xf>
    <xf numFmtId="0" fontId="25" fillId="2" borderId="0" xfId="0" applyNumberFormat="1" applyFont="1" applyFill="1" applyBorder="1" applyAlignment="1" applyProtection="1">
      <alignment horizontal="left" vertical="center"/>
    </xf>
    <xf numFmtId="167" fontId="9" fillId="2" borderId="0" xfId="0" applyNumberFormat="1" applyFont="1" applyFill="1" applyBorder="1" applyAlignment="1">
      <alignment horizontal="center" vertical="center"/>
    </xf>
    <xf numFmtId="1" fontId="9" fillId="2" borderId="0" xfId="0" applyNumberFormat="1" applyFont="1" applyFill="1" applyBorder="1" applyAlignment="1">
      <alignment horizontal="center" vertical="center"/>
    </xf>
    <xf numFmtId="166" fontId="9" fillId="2" borderId="0" xfId="0" applyNumberFormat="1"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5" borderId="9" xfId="0" applyFont="1" applyFill="1" applyBorder="1" applyAlignment="1">
      <alignment horizontal="center" vertical="center"/>
    </xf>
    <xf numFmtId="0" fontId="25" fillId="2" borderId="0" xfId="0" applyFont="1" applyFill="1" applyBorder="1" applyAlignment="1">
      <alignment vertical="center"/>
    </xf>
    <xf numFmtId="0" fontId="2" fillId="2" borderId="0" xfId="0" applyNumberFormat="1" applyFont="1" applyFill="1" applyBorder="1" applyAlignment="1">
      <alignment horizontal="center" vertical="center"/>
    </xf>
    <xf numFmtId="165" fontId="2" fillId="0" borderId="6" xfId="0" applyNumberFormat="1" applyFont="1" applyFill="1" applyBorder="1" applyAlignment="1">
      <alignment horizontal="center" vertical="center"/>
    </xf>
    <xf numFmtId="14" fontId="25" fillId="0" borderId="6" xfId="0" applyNumberFormat="1" applyFont="1" applyFill="1" applyBorder="1" applyAlignment="1" applyProtection="1">
      <alignment horizontal="center" vertical="center"/>
    </xf>
    <xf numFmtId="0" fontId="0" fillId="0" borderId="0" xfId="0" applyBorder="1"/>
    <xf numFmtId="0" fontId="2" fillId="0" borderId="0" xfId="0" applyFont="1" applyFill="1" applyBorder="1" applyAlignment="1">
      <alignment horizontal="center" vertical="center"/>
    </xf>
    <xf numFmtId="14" fontId="2" fillId="0" borderId="6" xfId="0" applyNumberFormat="1" applyFont="1" applyFill="1" applyBorder="1" applyAlignment="1" applyProtection="1">
      <alignment horizontal="center" vertical="center"/>
    </xf>
    <xf numFmtId="10" fontId="32" fillId="0" borderId="0" xfId="17" applyNumberFormat="1" applyFont="1" applyAlignment="1">
      <alignment horizontal="center"/>
    </xf>
    <xf numFmtId="0" fontId="2" fillId="0" borderId="0" xfId="0" applyFont="1" applyAlignment="1">
      <alignment horizontal="left" wrapText="1" indent="5"/>
    </xf>
    <xf numFmtId="0" fontId="21" fillId="0" borderId="9" xfId="0" applyFont="1" applyBorder="1" applyAlignment="1">
      <alignment horizontal="left" indent="1"/>
    </xf>
    <xf numFmtId="0" fontId="8" fillId="0" borderId="0" xfId="0" applyNumberFormat="1" applyFont="1" applyFill="1" applyBorder="1" applyAlignment="1">
      <alignment horizontal="center" vertical="center"/>
    </xf>
    <xf numFmtId="165" fontId="8" fillId="0" borderId="0" xfId="0" applyNumberFormat="1" applyFont="1" applyFill="1" applyBorder="1" applyAlignment="1">
      <alignment horizontal="center" vertical="center"/>
    </xf>
    <xf numFmtId="0" fontId="2" fillId="0" borderId="0" xfId="0" applyFont="1" applyFill="1"/>
    <xf numFmtId="0" fontId="20" fillId="0" borderId="6" xfId="0" applyFont="1" applyBorder="1" applyAlignment="1"/>
    <xf numFmtId="0" fontId="20" fillId="0" borderId="7" xfId="0" applyFont="1" applyBorder="1" applyAlignment="1"/>
    <xf numFmtId="0" fontId="2" fillId="0" borderId="16" xfId="0" applyFont="1" applyBorder="1" applyAlignment="1">
      <alignment horizontal="left" indent="1"/>
    </xf>
    <xf numFmtId="0" fontId="2" fillId="0" borderId="17" xfId="0" applyFont="1" applyBorder="1" applyAlignment="1">
      <alignment horizontal="left" indent="1"/>
    </xf>
    <xf numFmtId="0" fontId="2" fillId="0" borderId="18" xfId="0" applyFont="1" applyBorder="1" applyAlignment="1">
      <alignment horizontal="left" indent="1"/>
    </xf>
    <xf numFmtId="0" fontId="34" fillId="0" borderId="0" xfId="0" applyFont="1"/>
    <xf numFmtId="0" fontId="2" fillId="2" borderId="0" xfId="0" applyFont="1" applyFill="1"/>
    <xf numFmtId="6" fontId="2" fillId="0" borderId="0" xfId="0" applyNumberFormat="1" applyFont="1"/>
    <xf numFmtId="3" fontId="2" fillId="0" borderId="0" xfId="0" applyNumberFormat="1" applyFont="1"/>
    <xf numFmtId="0" fontId="35" fillId="0" borderId="6" xfId="0" applyFont="1" applyBorder="1" applyAlignment="1">
      <alignment horizontal="left" indent="1"/>
    </xf>
    <xf numFmtId="0" fontId="35" fillId="0" borderId="7" xfId="0" applyFont="1" applyBorder="1" applyAlignment="1">
      <alignment horizontal="left" indent="1"/>
    </xf>
    <xf numFmtId="0" fontId="36" fillId="0" borderId="0" xfId="0" applyFont="1" applyBorder="1"/>
    <xf numFmtId="0" fontId="35" fillId="2" borderId="6" xfId="0" applyFont="1" applyFill="1" applyBorder="1" applyAlignment="1">
      <alignment horizontal="left" vertical="center" indent="1"/>
    </xf>
    <xf numFmtId="0" fontId="35" fillId="2" borderId="0" xfId="0" applyFont="1" applyFill="1" applyBorder="1" applyAlignment="1">
      <alignment horizontal="left" vertical="center" indent="1"/>
    </xf>
    <xf numFmtId="0" fontId="35" fillId="0" borderId="0" xfId="0" applyFont="1" applyBorder="1" applyAlignment="1">
      <alignment horizontal="left" indent="1"/>
    </xf>
    <xf numFmtId="0" fontId="36" fillId="0" borderId="0" xfId="0" applyFont="1"/>
    <xf numFmtId="0" fontId="35" fillId="0" borderId="8" xfId="0" applyFont="1" applyFill="1" applyBorder="1" applyAlignment="1">
      <alignment horizontal="left" vertical="center"/>
    </xf>
    <xf numFmtId="0" fontId="36" fillId="0" borderId="0" xfId="0" applyFont="1" applyFill="1" applyBorder="1" applyAlignment="1">
      <alignment horizontal="left" vertical="center" indent="1"/>
    </xf>
    <xf numFmtId="0" fontId="36" fillId="0" borderId="7" xfId="0" applyFont="1" applyFill="1" applyBorder="1" applyAlignment="1">
      <alignment horizontal="left" vertical="center" indent="1"/>
    </xf>
    <xf numFmtId="0" fontId="35" fillId="0" borderId="8" xfId="0" applyFont="1" applyFill="1" applyBorder="1" applyAlignment="1">
      <alignment horizontal="center" vertical="center"/>
    </xf>
    <xf numFmtId="0" fontId="8" fillId="9" borderId="0" xfId="0" applyFont="1" applyFill="1" applyBorder="1" applyAlignment="1">
      <alignment horizontal="center" vertical="center"/>
    </xf>
    <xf numFmtId="44" fontId="8" fillId="9" borderId="0" xfId="16" applyFont="1" applyFill="1" applyBorder="1" applyAlignment="1">
      <alignment horizontal="left" vertical="center"/>
    </xf>
    <xf numFmtId="0" fontId="8" fillId="9" borderId="7" xfId="0" applyFont="1" applyFill="1" applyBorder="1" applyAlignment="1">
      <alignment horizontal="center" vertical="center"/>
    </xf>
    <xf numFmtId="44" fontId="8" fillId="9" borderId="7" xfId="16" applyFont="1" applyFill="1" applyBorder="1" applyAlignment="1">
      <alignment horizontal="left" vertical="center"/>
    </xf>
    <xf numFmtId="0" fontId="2" fillId="0" borderId="0" xfId="0" applyFont="1" applyAlignment="1">
      <alignment horizontal="left"/>
    </xf>
    <xf numFmtId="0" fontId="8" fillId="9" borderId="0" xfId="0" applyNumberFormat="1" applyFont="1" applyFill="1" applyBorder="1" applyAlignment="1">
      <alignment horizontal="center" vertical="center"/>
    </xf>
    <xf numFmtId="165" fontId="8" fillId="9" borderId="0" xfId="0" applyNumberFormat="1" applyFont="1" applyFill="1" applyBorder="1" applyAlignment="1">
      <alignment horizontal="center" vertical="center"/>
    </xf>
    <xf numFmtId="0" fontId="35" fillId="0" borderId="6" xfId="0" applyFont="1" applyFill="1" applyBorder="1" applyAlignment="1">
      <alignment horizontal="center" vertical="center"/>
    </xf>
    <xf numFmtId="0" fontId="9" fillId="9" borderId="11" xfId="0" applyFont="1" applyFill="1" applyBorder="1" applyAlignment="1">
      <alignment horizontal="center" vertical="center"/>
    </xf>
    <xf numFmtId="0" fontId="35" fillId="0" borderId="8" xfId="0" applyFont="1" applyFill="1" applyBorder="1" applyAlignment="1">
      <alignment vertical="center"/>
    </xf>
    <xf numFmtId="0" fontId="35" fillId="0" borderId="11" xfId="0" applyFont="1" applyFill="1" applyBorder="1" applyAlignment="1">
      <alignment vertical="center"/>
    </xf>
    <xf numFmtId="165" fontId="36" fillId="0" borderId="16" xfId="0" applyNumberFormat="1" applyFont="1" applyBorder="1" applyAlignment="1">
      <alignment horizontal="left" indent="1"/>
    </xf>
    <xf numFmtId="165" fontId="36" fillId="0" borderId="17" xfId="0" applyNumberFormat="1" applyFont="1" applyBorder="1" applyAlignment="1">
      <alignment horizontal="left" indent="1"/>
    </xf>
    <xf numFmtId="165" fontId="36" fillId="0" borderId="18" xfId="0" applyNumberFormat="1" applyFont="1" applyBorder="1" applyAlignment="1">
      <alignment horizontal="left" indent="1"/>
    </xf>
    <xf numFmtId="0" fontId="36" fillId="0" borderId="17" xfId="0" applyFont="1" applyBorder="1" applyAlignment="1">
      <alignment horizontal="center"/>
    </xf>
    <xf numFmtId="0" fontId="36" fillId="0" borderId="18" xfId="0" applyFont="1" applyBorder="1" applyAlignment="1">
      <alignment horizontal="center"/>
    </xf>
    <xf numFmtId="166" fontId="2" fillId="4" borderId="6" xfId="0" applyNumberFormat="1" applyFont="1" applyFill="1" applyBorder="1" applyAlignment="1">
      <alignment horizontal="center" vertical="center"/>
    </xf>
    <xf numFmtId="166" fontId="2" fillId="4" borderId="12" xfId="0" applyNumberFormat="1" applyFont="1" applyFill="1" applyBorder="1" applyAlignment="1">
      <alignment horizontal="center" vertical="center"/>
    </xf>
    <xf numFmtId="166" fontId="11" fillId="2" borderId="0" xfId="0" applyNumberFormat="1" applyFont="1" applyFill="1" applyBorder="1" applyAlignment="1">
      <alignment horizontal="center" vertical="center"/>
    </xf>
    <xf numFmtId="166" fontId="25" fillId="2" borderId="0" xfId="0" applyNumberFormat="1" applyFont="1" applyFill="1" applyAlignment="1">
      <alignment horizontal="center" vertical="center"/>
    </xf>
    <xf numFmtId="0" fontId="2" fillId="0" borderId="0" xfId="0" quotePrefix="1" applyFont="1"/>
    <xf numFmtId="0" fontId="2" fillId="10" borderId="0" xfId="0" applyFont="1" applyFill="1"/>
    <xf numFmtId="0" fontId="2" fillId="11" borderId="0" xfId="0" applyFont="1" applyFill="1"/>
    <xf numFmtId="0" fontId="0" fillId="11" borderId="0" xfId="0" applyFill="1"/>
    <xf numFmtId="0" fontId="0" fillId="0" borderId="0" xfId="0" applyNumberFormat="1" applyAlignment="1">
      <alignment horizontal="center" vertical="center"/>
    </xf>
    <xf numFmtId="0" fontId="23" fillId="0" borderId="5" xfId="0" applyNumberFormat="1" applyFont="1" applyFill="1" applyBorder="1" applyAlignment="1">
      <alignment horizontal="center" vertical="center" wrapText="1"/>
    </xf>
    <xf numFmtId="0" fontId="2" fillId="4" borderId="12" xfId="0" applyNumberFormat="1" applyFont="1" applyFill="1" applyBorder="1" applyAlignment="1">
      <alignment horizontal="center" vertical="center"/>
    </xf>
    <xf numFmtId="0" fontId="9" fillId="9" borderId="0" xfId="0" applyFont="1" applyFill="1"/>
    <xf numFmtId="0" fontId="9" fillId="9" borderId="2" xfId="0" applyFont="1" applyFill="1" applyBorder="1"/>
    <xf numFmtId="0" fontId="36" fillId="0" borderId="16" xfId="0" applyFont="1" applyBorder="1" applyAlignment="1">
      <alignment horizontal="center"/>
    </xf>
    <xf numFmtId="0" fontId="0" fillId="12" borderId="0" xfId="0" applyFill="1"/>
    <xf numFmtId="0" fontId="3" fillId="12" borderId="0" xfId="0" applyNumberFormat="1" applyFont="1" applyFill="1"/>
    <xf numFmtId="0" fontId="3" fillId="12" borderId="0" xfId="0" applyFont="1" applyFill="1"/>
    <xf numFmtId="44" fontId="0" fillId="12" borderId="0" xfId="16" applyFont="1" applyFill="1"/>
    <xf numFmtId="44" fontId="0" fillId="12" borderId="0" xfId="0" applyNumberFormat="1" applyFill="1"/>
    <xf numFmtId="0" fontId="8" fillId="13" borderId="6" xfId="0" applyFont="1" applyFill="1" applyBorder="1" applyAlignment="1">
      <alignment horizontal="center" vertical="center"/>
    </xf>
    <xf numFmtId="14" fontId="8" fillId="13" borderId="7" xfId="0" applyNumberFormat="1" applyFont="1" applyFill="1" applyBorder="1" applyAlignment="1">
      <alignment horizontal="center" vertical="center"/>
    </xf>
    <xf numFmtId="0" fontId="8" fillId="13" borderId="0" xfId="0" applyFont="1" applyFill="1" applyBorder="1" applyAlignment="1">
      <alignment horizontal="center" vertical="center"/>
    </xf>
    <xf numFmtId="17" fontId="8" fillId="13" borderId="0" xfId="16" applyNumberFormat="1" applyFont="1" applyFill="1" applyBorder="1" applyAlignment="1">
      <alignment horizontal="center" vertical="center"/>
    </xf>
    <xf numFmtId="14" fontId="8" fillId="13" borderId="7" xfId="0" applyNumberFormat="1" applyFont="1" applyFill="1" applyBorder="1" applyAlignment="1">
      <alignment horizontal="center"/>
    </xf>
    <xf numFmtId="0" fontId="38" fillId="0" borderId="0" xfId="0" applyFont="1"/>
    <xf numFmtId="0" fontId="8" fillId="13" borderId="15" xfId="0" applyFont="1" applyFill="1" applyBorder="1" applyAlignment="1">
      <alignment horizontal="left" vertical="center"/>
    </xf>
    <xf numFmtId="0" fontId="8" fillId="13" borderId="15" xfId="0" applyFont="1" applyFill="1" applyBorder="1" applyAlignment="1">
      <alignment horizontal="center" vertical="center"/>
    </xf>
    <xf numFmtId="17" fontId="9" fillId="13" borderId="8" xfId="0" applyNumberFormat="1" applyFont="1" applyFill="1" applyBorder="1" applyAlignment="1">
      <alignment horizontal="center" vertical="center"/>
    </xf>
    <xf numFmtId="0" fontId="9" fillId="13" borderId="11" xfId="0" applyFont="1" applyFill="1" applyBorder="1" applyAlignment="1">
      <alignment horizontal="center" vertical="center"/>
    </xf>
    <xf numFmtId="0" fontId="16" fillId="0" borderId="0" xfId="0" applyFont="1" applyAlignment="1">
      <alignment horizontal="left" vertical="top" wrapText="1"/>
    </xf>
    <xf numFmtId="0" fontId="21" fillId="0" borderId="0" xfId="0" applyFont="1" applyBorder="1" applyAlignment="1">
      <alignment horizontal="left"/>
    </xf>
    <xf numFmtId="0" fontId="21" fillId="0" borderId="6" xfId="0" applyFont="1" applyBorder="1" applyAlignment="1">
      <alignment horizontal="left"/>
    </xf>
    <xf numFmtId="0" fontId="21" fillId="0" borderId="7" xfId="0" applyFont="1" applyBorder="1" applyAlignment="1">
      <alignment horizontal="left"/>
    </xf>
    <xf numFmtId="0" fontId="2" fillId="0" borderId="0" xfId="0" applyFont="1" applyAlignment="1">
      <alignment horizontal="left" vertical="top" wrapText="1"/>
    </xf>
    <xf numFmtId="0" fontId="16" fillId="0" borderId="0" xfId="0" applyFont="1" applyBorder="1" applyAlignment="1">
      <alignment horizontal="left" vertical="top" wrapText="1"/>
    </xf>
    <xf numFmtId="0" fontId="23" fillId="2" borderId="4"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 fillId="2" borderId="0" xfId="0" applyFont="1" applyFill="1" applyAlignment="1">
      <alignment horizontal="center" vertical="center"/>
    </xf>
    <xf numFmtId="0" fontId="2" fillId="0" borderId="0" xfId="0" applyFont="1" applyAlignment="1">
      <alignment horizontal="left" vertical="center" wrapText="1" indent="2"/>
    </xf>
    <xf numFmtId="9" fontId="10" fillId="4" borderId="0" xfId="0" applyNumberFormat="1" applyFont="1" applyFill="1" applyAlignment="1">
      <alignment horizontal="center" vertical="center" wrapText="1"/>
    </xf>
    <xf numFmtId="0" fontId="2" fillId="0" borderId="14" xfId="0" applyFont="1" applyBorder="1" applyAlignment="1">
      <alignment horizontal="left" wrapText="1"/>
    </xf>
    <xf numFmtId="0" fontId="2" fillId="0" borderId="0" xfId="0" applyFont="1" applyAlignment="1">
      <alignment horizontal="left" wrapText="1"/>
    </xf>
    <xf numFmtId="0" fontId="2" fillId="0" borderId="3" xfId="0" applyFont="1" applyBorder="1" applyAlignment="1">
      <alignment horizontal="left" wrapText="1"/>
    </xf>
    <xf numFmtId="0" fontId="17" fillId="2" borderId="0" xfId="0" applyFont="1" applyFill="1" applyBorder="1" applyAlignment="1">
      <alignment horizontal="right" vertical="center"/>
    </xf>
    <xf numFmtId="44" fontId="2" fillId="2" borderId="0" xfId="16" applyFont="1" applyFill="1" applyBorder="1" applyAlignment="1">
      <alignment horizontal="left" vertical="center"/>
    </xf>
    <xf numFmtId="0" fontId="23" fillId="0" borderId="5" xfId="0" applyFont="1" applyFill="1" applyBorder="1" applyAlignment="1">
      <alignment horizontal="right" vertical="center"/>
    </xf>
    <xf numFmtId="166" fontId="2" fillId="4" borderId="6" xfId="0" applyNumberFormat="1" applyFont="1" applyFill="1" applyBorder="1" applyAlignment="1">
      <alignment horizontal="center" vertical="center"/>
    </xf>
    <xf numFmtId="166" fontId="2" fillId="4" borderId="12" xfId="0" applyNumberFormat="1" applyFont="1" applyFill="1" applyBorder="1" applyAlignment="1">
      <alignment horizontal="center" vertical="center"/>
    </xf>
    <xf numFmtId="166" fontId="2" fillId="4" borderId="9" xfId="0" applyNumberFormat="1" applyFont="1" applyFill="1" applyBorder="1" applyAlignment="1">
      <alignment horizontal="center" vertical="center"/>
    </xf>
    <xf numFmtId="166" fontId="2" fillId="4" borderId="0" xfId="0" applyNumberFormat="1" applyFont="1" applyFill="1" applyBorder="1" applyAlignment="1">
      <alignment horizontal="center" vertical="center"/>
    </xf>
    <xf numFmtId="166" fontId="2" fillId="4" borderId="7" xfId="0" applyNumberFormat="1" applyFont="1" applyFill="1" applyBorder="1" applyAlignment="1">
      <alignment horizontal="center" vertical="center"/>
    </xf>
    <xf numFmtId="0" fontId="28" fillId="0" borderId="5" xfId="0" applyFont="1" applyFill="1" applyBorder="1" applyAlignment="1">
      <alignment horizontal="center" vertical="center"/>
    </xf>
    <xf numFmtId="0" fontId="26" fillId="2" borderId="0" xfId="0" applyFont="1" applyFill="1" applyAlignment="1">
      <alignment horizontal="left" vertical="top" wrapText="1"/>
    </xf>
    <xf numFmtId="0" fontId="27" fillId="2" borderId="0" xfId="0" applyFont="1" applyFill="1" applyAlignment="1">
      <alignment horizontal="left" vertical="top" wrapText="1"/>
    </xf>
    <xf numFmtId="0" fontId="27" fillId="0" borderId="0"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6" fillId="2" borderId="1" xfId="0" applyFont="1" applyFill="1" applyBorder="1" applyAlignment="1">
      <alignment horizontal="left" vertical="center"/>
    </xf>
    <xf numFmtId="0" fontId="27" fillId="2" borderId="1" xfId="0" applyFont="1" applyFill="1" applyBorder="1" applyAlignment="1">
      <alignment horizontal="center" vertical="center"/>
    </xf>
    <xf numFmtId="0" fontId="25" fillId="2" borderId="0" xfId="0" applyFont="1" applyFill="1" applyBorder="1" applyAlignment="1">
      <alignment horizontal="left" vertical="center" wrapText="1"/>
    </xf>
    <xf numFmtId="0" fontId="23" fillId="0" borderId="0" xfId="0" applyFont="1" applyFill="1" applyBorder="1" applyAlignment="1">
      <alignment horizontal="right" vertical="center" indent="1"/>
    </xf>
    <xf numFmtId="0" fontId="23" fillId="8" borderId="6" xfId="0" applyFont="1" applyFill="1" applyBorder="1" applyAlignment="1">
      <alignment horizontal="center" vertical="center"/>
    </xf>
    <xf numFmtId="0" fontId="23" fillId="8" borderId="7" xfId="0" applyFont="1" applyFill="1" applyBorder="1" applyAlignment="1">
      <alignment horizontal="center" vertical="center"/>
    </xf>
    <xf numFmtId="0" fontId="2" fillId="0" borderId="0" xfId="0" applyFont="1" applyAlignment="1">
      <alignment horizontal="left" vertical="center" wrapText="1" indent="5"/>
    </xf>
  </cellXfs>
  <cellStyles count="18">
    <cellStyle name="Comma 2" xfId="5" xr:uid="{00000000-0005-0000-0000-000001000000}"/>
    <cellStyle name="Currency" xfId="16" builtinId="4"/>
    <cellStyle name="Currency 2" xfId="2" xr:uid="{00000000-0005-0000-0000-000002000000}"/>
    <cellStyle name="Currency 3" xfId="4" xr:uid="{00000000-0005-0000-0000-000003000000}"/>
    <cellStyle name="Currency 4" xfId="1" xr:uid="{00000000-0005-0000-0000-000004000000}"/>
    <cellStyle name="Hyperlink 2" xfId="6" xr:uid="{00000000-0005-0000-0000-000005000000}"/>
    <cellStyle name="Normal" xfId="0" builtinId="0"/>
    <cellStyle name="Normal 2" xfId="3" xr:uid="{00000000-0005-0000-0000-000007000000}"/>
    <cellStyle name="Normal 2 2" xfId="7" xr:uid="{00000000-0005-0000-0000-000008000000}"/>
    <cellStyle name="Normal 3" xfId="8" xr:uid="{00000000-0005-0000-0000-000009000000}"/>
    <cellStyle name="Normal 3 2" xfId="9" xr:uid="{00000000-0005-0000-0000-00000A000000}"/>
    <cellStyle name="Normal 4" xfId="10" xr:uid="{00000000-0005-0000-0000-00000B000000}"/>
    <cellStyle name="Percent" xfId="17" builtinId="5"/>
    <cellStyle name="Percent 2" xfId="11" xr:uid="{00000000-0005-0000-0000-00000C000000}"/>
    <cellStyle name="Percent 2 2" xfId="12" xr:uid="{00000000-0005-0000-0000-00000D000000}"/>
    <cellStyle name="Percent 3" xfId="13" xr:uid="{00000000-0005-0000-0000-00000E000000}"/>
    <cellStyle name="Percent 3 2" xfId="14" xr:uid="{00000000-0005-0000-0000-00000F000000}"/>
    <cellStyle name="Percent 4" xfId="15" xr:uid="{00000000-0005-0000-0000-000010000000}"/>
  </cellStyles>
  <dxfs count="11">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rgb="FF00B05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rgb="FF00B050"/>
      </font>
    </dxf>
    <dxf>
      <font>
        <b/>
        <i val="0"/>
        <strike val="0"/>
        <color rgb="FF00B050"/>
      </font>
    </dxf>
    <dxf>
      <font>
        <b/>
        <i val="0"/>
        <strike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9516A2"/>
      <color rgb="FFB42499"/>
      <color rgb="FF454546"/>
      <color rgb="FFFFBF22"/>
      <color rgb="FF0070C1"/>
      <color rgb="FFED7D31"/>
      <color rgb="FFF26522"/>
      <color rgb="FF00148C"/>
      <color rgb="FF00AFF0"/>
      <color rgb="FF5555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75000"/>
                    <a:lumOff val="25000"/>
                  </a:schemeClr>
                </a:solidFill>
                <a:latin typeface="+mn-lt"/>
                <a:ea typeface="+mn-ea"/>
                <a:cs typeface="+mn-cs"/>
              </a:defRPr>
            </a:pPr>
            <a:r>
              <a:rPr lang="en-GB"/>
              <a:t>Annual Charge Forecast (Assumes constant inflation, SSM and TRC)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75000"/>
                  <a:lumOff val="25000"/>
                </a:schemeClr>
              </a:solidFill>
              <a:latin typeface="+mn-lt"/>
              <a:ea typeface="+mn-ea"/>
              <a:cs typeface="+mn-cs"/>
            </a:defRPr>
          </a:pPr>
          <a:endParaRPr lang="en-US"/>
        </a:p>
      </c:txPr>
    </c:title>
    <c:autoTitleDeleted val="0"/>
    <c:plotArea>
      <c:layout/>
      <c:lineChart>
        <c:grouping val="standard"/>
        <c:varyColors val="0"/>
        <c:ser>
          <c:idx val="0"/>
          <c:order val="0"/>
          <c:tx>
            <c:strRef>
              <c:f>'Forecast Chart'!$B$3</c:f>
              <c:strCache>
                <c:ptCount val="1"/>
                <c:pt idx="0">
                  <c:v>No Capital Contribution</c:v>
                </c:pt>
              </c:strCache>
            </c:strRef>
          </c:tx>
          <c:spPr>
            <a:ln w="28575" cap="rnd">
              <a:solidFill>
                <a:schemeClr val="accent1"/>
              </a:solidFill>
              <a:round/>
            </a:ln>
            <a:effectLst/>
          </c:spPr>
          <c:marker>
            <c:symbol val="none"/>
          </c:marker>
          <c:cat>
            <c:strRef>
              <c:f>'Forecast Chart'!$C$2:$AQ$2</c:f>
              <c:strCache>
                <c:ptCount val="41"/>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strCache>
            </c:strRef>
          </c:cat>
          <c:val>
            <c:numRef>
              <c:f>'Forecast Chart'!$C$3:$AQ$3</c:f>
              <c:numCache>
                <c:formatCode>"£"#,##0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mooth val="0"/>
          <c:extLst>
            <c:ext xmlns:c16="http://schemas.microsoft.com/office/drawing/2014/chart" uri="{C3380CC4-5D6E-409C-BE32-E72D297353CC}">
              <c16:uniqueId val="{00000000-AF24-43BB-AEF1-AEEB344802E8}"/>
            </c:ext>
          </c:extLst>
        </c:ser>
        <c:ser>
          <c:idx val="1"/>
          <c:order val="1"/>
          <c:tx>
            <c:strRef>
              <c:f>'Forecast Chart'!$B$4</c:f>
              <c:strCache>
                <c:ptCount val="1"/>
                <c:pt idx="0">
                  <c:v>Capital Contribution on Completion</c:v>
                </c:pt>
              </c:strCache>
            </c:strRef>
          </c:tx>
          <c:spPr>
            <a:ln w="28575" cap="rnd">
              <a:solidFill>
                <a:schemeClr val="accent2"/>
              </a:solidFill>
              <a:round/>
            </a:ln>
            <a:effectLst/>
          </c:spPr>
          <c:marker>
            <c:symbol val="none"/>
          </c:marker>
          <c:cat>
            <c:strRef>
              <c:f>'Forecast Chart'!$C$2:$AQ$2</c:f>
              <c:strCache>
                <c:ptCount val="41"/>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strCache>
            </c:strRef>
          </c:cat>
          <c:val>
            <c:numRef>
              <c:f>'Forecast Chart'!$C$4:$AQ$4</c:f>
              <c:numCache>
                <c:formatCode>"£"#,##0</c:formatCode>
                <c:ptCount val="41"/>
                <c:pt idx="0">
                  <c:v>240736.06230789772</c:v>
                </c:pt>
                <c:pt idx="1">
                  <c:v>256359.83275168031</c:v>
                </c:pt>
                <c:pt idx="2">
                  <c:v>272997.5858972643</c:v>
                </c:pt>
                <c:pt idx="3">
                  <c:v>290715.12922199676</c:v>
                </c:pt>
                <c:pt idx="4">
                  <c:v>309582.54110850429</c:v>
                </c:pt>
                <c:pt idx="5">
                  <c:v>329674.44802644628</c:v>
                </c:pt>
                <c:pt idx="6">
                  <c:v>351070.31970336259</c:v>
                </c:pt>
                <c:pt idx="7">
                  <c:v>373854.78345211077</c:v>
                </c:pt>
                <c:pt idx="8">
                  <c:v>398117.95889815275</c:v>
                </c:pt>
                <c:pt idx="9">
                  <c:v>423955.81443064287</c:v>
                </c:pt>
                <c:pt idx="10">
                  <c:v>451470.54678719153</c:v>
                </c:pt>
                <c:pt idx="11">
                  <c:v>480770.9852736803</c:v>
                </c:pt>
                <c:pt idx="12">
                  <c:v>511973.02221794211</c:v>
                </c:pt>
                <c:pt idx="13">
                  <c:v>545200.07135988656</c:v>
                </c:pt>
                <c:pt idx="14">
                  <c:v>580583.5559911431</c:v>
                </c:pt>
                <c:pt idx="15">
                  <c:v>618263.42877496826</c:v>
                </c:pt>
                <c:pt idx="16">
                  <c:v>658388.72530246375</c:v>
                </c:pt>
                <c:pt idx="17">
                  <c:v>701118.1535745936</c:v>
                </c:pt>
                <c:pt idx="18">
                  <c:v>746620.7217415846</c:v>
                </c:pt>
                <c:pt idx="19">
                  <c:v>795076.40658261348</c:v>
                </c:pt>
                <c:pt idx="20">
                  <c:v>846676.86536982493</c:v>
                </c:pt>
                <c:pt idx="21">
                  <c:v>901626.19393232651</c:v>
                </c:pt>
                <c:pt idx="22">
                  <c:v>960141.73391853448</c:v>
                </c:pt>
                <c:pt idx="23">
                  <c:v>1022454.9324498475</c:v>
                </c:pt>
                <c:pt idx="24">
                  <c:v>1088812.2575658425</c:v>
                </c:pt>
                <c:pt idx="25">
                  <c:v>1159476.1730818655</c:v>
                </c:pt>
                <c:pt idx="26">
                  <c:v>1234726.1767148788</c:v>
                </c:pt>
                <c:pt idx="27">
                  <c:v>1314859.9055836746</c:v>
                </c:pt>
                <c:pt idx="28">
                  <c:v>1400194.313456055</c:v>
                </c:pt>
                <c:pt idx="29">
                  <c:v>1491066.9243993531</c:v>
                </c:pt>
                <c:pt idx="30">
                  <c:v>1587837.1677928707</c:v>
                </c:pt>
                <c:pt idx="31">
                  <c:v>1690887.7999826279</c:v>
                </c:pt>
                <c:pt idx="32">
                  <c:v>1800626.4182015005</c:v>
                </c:pt>
                <c:pt idx="33">
                  <c:v>1917487.0727427776</c:v>
                </c:pt>
                <c:pt idx="34">
                  <c:v>2041931.9837637837</c:v>
                </c:pt>
                <c:pt idx="35">
                  <c:v>2174453.3695100537</c:v>
                </c:pt>
                <c:pt idx="36">
                  <c:v>2315575.3931912561</c:v>
                </c:pt>
                <c:pt idx="37">
                  <c:v>2465856.2362093683</c:v>
                </c:pt>
                <c:pt idx="38">
                  <c:v>2625890.3059393568</c:v>
                </c:pt>
                <c:pt idx="39">
                  <c:v>2796310.5867948206</c:v>
                </c:pt>
                <c:pt idx="40">
                  <c:v>2977791.1438778043</c:v>
                </c:pt>
              </c:numCache>
            </c:numRef>
          </c:val>
          <c:smooth val="0"/>
          <c:extLst>
            <c:ext xmlns:c16="http://schemas.microsoft.com/office/drawing/2014/chart" uri="{C3380CC4-5D6E-409C-BE32-E72D297353CC}">
              <c16:uniqueId val="{00000001-AF24-43BB-AEF1-AEEB344802E8}"/>
            </c:ext>
          </c:extLst>
        </c:ser>
        <c:ser>
          <c:idx val="2"/>
          <c:order val="2"/>
          <c:tx>
            <c:strRef>
              <c:f>'Forecast Chart'!$B$5</c:f>
              <c:strCache>
                <c:ptCount val="1"/>
                <c:pt idx="0">
                  <c:v>Capital Contribution during construction</c:v>
                </c:pt>
              </c:strCache>
            </c:strRef>
          </c:tx>
          <c:spPr>
            <a:ln w="28575" cap="rnd">
              <a:solidFill>
                <a:schemeClr val="accent3"/>
              </a:solidFill>
              <a:round/>
            </a:ln>
            <a:effectLst/>
          </c:spPr>
          <c:marker>
            <c:symbol val="none"/>
          </c:marker>
          <c:cat>
            <c:strRef>
              <c:f>'Forecast Chart'!$C$2:$AQ$2</c:f>
              <c:strCache>
                <c:ptCount val="41"/>
                <c:pt idx="0">
                  <c:v>Year 1</c:v>
                </c:pt>
                <c:pt idx="1">
                  <c:v>Year 2</c:v>
                </c:pt>
                <c:pt idx="2">
                  <c:v>Year 3</c:v>
                </c:pt>
                <c:pt idx="3">
                  <c:v>Year 4</c:v>
                </c:pt>
                <c:pt idx="4">
                  <c:v>Year 5</c:v>
                </c:pt>
                <c:pt idx="5">
                  <c:v>Year 6</c:v>
                </c:pt>
                <c:pt idx="6">
                  <c:v>Year 7</c:v>
                </c:pt>
                <c:pt idx="7">
                  <c:v>Year 8</c:v>
                </c:pt>
                <c:pt idx="8">
                  <c:v>Year 9</c:v>
                </c:pt>
                <c:pt idx="9">
                  <c:v>Year 10</c:v>
                </c:pt>
                <c:pt idx="10">
                  <c:v>Year 11</c:v>
                </c:pt>
                <c:pt idx="11">
                  <c:v>Year 12</c:v>
                </c:pt>
                <c:pt idx="12">
                  <c:v>Year 13</c:v>
                </c:pt>
                <c:pt idx="13">
                  <c:v>Year 14</c:v>
                </c:pt>
                <c:pt idx="14">
                  <c:v>Year 15</c:v>
                </c:pt>
                <c:pt idx="15">
                  <c:v>Year 16</c:v>
                </c:pt>
                <c:pt idx="16">
                  <c:v>Year 17</c:v>
                </c:pt>
                <c:pt idx="17">
                  <c:v>Year 18</c:v>
                </c:pt>
                <c:pt idx="18">
                  <c:v>Year 19</c:v>
                </c:pt>
                <c:pt idx="19">
                  <c:v>Year 20</c:v>
                </c:pt>
                <c:pt idx="20">
                  <c:v>Year 21</c:v>
                </c:pt>
                <c:pt idx="21">
                  <c:v>Year 22</c:v>
                </c:pt>
                <c:pt idx="22">
                  <c:v>Year 23</c:v>
                </c:pt>
                <c:pt idx="23">
                  <c:v>Year 24</c:v>
                </c:pt>
                <c:pt idx="24">
                  <c:v>Year 25</c:v>
                </c:pt>
                <c:pt idx="25">
                  <c:v>Year 26</c:v>
                </c:pt>
                <c:pt idx="26">
                  <c:v>Year 27</c:v>
                </c:pt>
                <c:pt idx="27">
                  <c:v>Year 28</c:v>
                </c:pt>
                <c:pt idx="28">
                  <c:v>Year 29</c:v>
                </c:pt>
                <c:pt idx="29">
                  <c:v>Year 30</c:v>
                </c:pt>
                <c:pt idx="30">
                  <c:v>Year 31</c:v>
                </c:pt>
                <c:pt idx="31">
                  <c:v>Year 32</c:v>
                </c:pt>
                <c:pt idx="32">
                  <c:v>Year 33</c:v>
                </c:pt>
                <c:pt idx="33">
                  <c:v>Year 34</c:v>
                </c:pt>
                <c:pt idx="34">
                  <c:v>Year 35</c:v>
                </c:pt>
                <c:pt idx="35">
                  <c:v>Year 36</c:v>
                </c:pt>
                <c:pt idx="36">
                  <c:v>Year 37</c:v>
                </c:pt>
                <c:pt idx="37">
                  <c:v>Year 38</c:v>
                </c:pt>
                <c:pt idx="38">
                  <c:v>Year 39</c:v>
                </c:pt>
                <c:pt idx="39">
                  <c:v>Year 40</c:v>
                </c:pt>
                <c:pt idx="40">
                  <c:v>Year 41</c:v>
                </c:pt>
              </c:strCache>
            </c:strRef>
          </c:cat>
          <c:val>
            <c:numRef>
              <c:f>'Forecast Chart'!$C$5:$AQ$5</c:f>
              <c:numCache>
                <c:formatCode>"£"#,##0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mooth val="0"/>
          <c:extLst>
            <c:ext xmlns:c16="http://schemas.microsoft.com/office/drawing/2014/chart" uri="{C3380CC4-5D6E-409C-BE32-E72D297353CC}">
              <c16:uniqueId val="{00000002-AF24-43BB-AEF1-AEEB344802E8}"/>
            </c:ext>
          </c:extLst>
        </c:ser>
        <c:dLbls>
          <c:showLegendKey val="0"/>
          <c:showVal val="0"/>
          <c:showCatName val="0"/>
          <c:showSerName val="0"/>
          <c:showPercent val="0"/>
          <c:showBubbleSize val="0"/>
        </c:dLbls>
        <c:smooth val="0"/>
        <c:axId val="737693632"/>
        <c:axId val="737697240"/>
      </c:lineChart>
      <c:catAx>
        <c:axId val="737693632"/>
        <c:scaling>
          <c:orientation val="minMax"/>
        </c:scaling>
        <c:delete val="0"/>
        <c:axPos val="b"/>
        <c:minorGridlines>
          <c:spPr>
            <a:ln w="9525" cap="flat" cmpd="sng" algn="ctr">
              <a:no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737697240"/>
        <c:crosses val="autoZero"/>
        <c:auto val="1"/>
        <c:lblAlgn val="ctr"/>
        <c:lblOffset val="100"/>
        <c:noMultiLvlLbl val="0"/>
      </c:catAx>
      <c:valAx>
        <c:axId val="737697240"/>
        <c:scaling>
          <c:orientation val="minMax"/>
        </c:scaling>
        <c:delete val="0"/>
        <c:axPos val="l"/>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737693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1">
              <a:lumMod val="75000"/>
              <a:lumOff val="25000"/>
            </a:schemeClr>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412750</xdr:colOff>
      <xdr:row>0</xdr:row>
      <xdr:rowOff>31751</xdr:rowOff>
    </xdr:from>
    <xdr:to>
      <xdr:col>1</xdr:col>
      <xdr:colOff>420687</xdr:colOff>
      <xdr:row>6</xdr:row>
      <xdr:rowOff>31751</xdr:rowOff>
    </xdr:to>
    <xdr:pic>
      <xdr:nvPicPr>
        <xdr:cNvPr id="2" name="Picture 1">
          <a:extLst>
            <a:ext uri="{FF2B5EF4-FFF2-40B4-BE49-F238E27FC236}">
              <a16:creationId xmlns:a16="http://schemas.microsoft.com/office/drawing/2014/main" id="{7AC5B531-FE38-0516-3E65-1A0A4E1D36E3}"/>
            </a:ext>
          </a:extLst>
        </xdr:cNvPr>
        <xdr:cNvPicPr>
          <a:picLocks noChangeAspect="1"/>
        </xdr:cNvPicPr>
      </xdr:nvPicPr>
      <xdr:blipFill>
        <a:blip xmlns:r="http://schemas.openxmlformats.org/officeDocument/2006/relationships" r:embed="rId1"/>
        <a:stretch>
          <a:fillRect/>
        </a:stretch>
      </xdr:blipFill>
      <xdr:spPr>
        <a:xfrm>
          <a:off x="412750" y="31751"/>
          <a:ext cx="2413000"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49696</xdr:rowOff>
    </xdr:from>
    <xdr:to>
      <xdr:col>1</xdr:col>
      <xdr:colOff>1496393</xdr:colOff>
      <xdr:row>4</xdr:row>
      <xdr:rowOff>77304</xdr:rowOff>
    </xdr:to>
    <xdr:pic>
      <xdr:nvPicPr>
        <xdr:cNvPr id="3" name="Picture 2">
          <a:extLst>
            <a:ext uri="{FF2B5EF4-FFF2-40B4-BE49-F238E27FC236}">
              <a16:creationId xmlns:a16="http://schemas.microsoft.com/office/drawing/2014/main" id="{BF04774A-A034-4004-B26B-C8E60C92A27B}"/>
            </a:ext>
          </a:extLst>
        </xdr:cNvPr>
        <xdr:cNvPicPr>
          <a:picLocks noChangeAspect="1"/>
        </xdr:cNvPicPr>
      </xdr:nvPicPr>
      <xdr:blipFill>
        <a:blip xmlns:r="http://schemas.openxmlformats.org/officeDocument/2006/relationships" r:embed="rId1"/>
        <a:stretch>
          <a:fillRect/>
        </a:stretch>
      </xdr:blipFill>
      <xdr:spPr>
        <a:xfrm>
          <a:off x="248479" y="49696"/>
          <a:ext cx="1496392" cy="6681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531813</xdr:colOff>
      <xdr:row>0</xdr:row>
      <xdr:rowOff>0</xdr:rowOff>
    </xdr:from>
    <xdr:to>
      <xdr:col>2</xdr:col>
      <xdr:colOff>1690688</xdr:colOff>
      <xdr:row>5</xdr:row>
      <xdr:rowOff>71438</xdr:rowOff>
    </xdr:to>
    <xdr:pic>
      <xdr:nvPicPr>
        <xdr:cNvPr id="3" name="Picture 2">
          <a:extLst>
            <a:ext uri="{FF2B5EF4-FFF2-40B4-BE49-F238E27FC236}">
              <a16:creationId xmlns:a16="http://schemas.microsoft.com/office/drawing/2014/main" id="{9FEB639D-1154-4068-98B6-4A13CB1F4CC3}"/>
            </a:ext>
          </a:extLst>
        </xdr:cNvPr>
        <xdr:cNvPicPr>
          <a:picLocks noChangeAspect="1"/>
        </xdr:cNvPicPr>
      </xdr:nvPicPr>
      <xdr:blipFill>
        <a:blip xmlns:r="http://schemas.openxmlformats.org/officeDocument/2006/relationships" r:embed="rId1"/>
        <a:stretch>
          <a:fillRect/>
        </a:stretch>
      </xdr:blipFill>
      <xdr:spPr>
        <a:xfrm>
          <a:off x="531813" y="0"/>
          <a:ext cx="2254250" cy="8969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1269999</xdr:colOff>
      <xdr:row>0</xdr:row>
      <xdr:rowOff>0</xdr:rowOff>
    </xdr:from>
    <xdr:to>
      <xdr:col>2</xdr:col>
      <xdr:colOff>333374</xdr:colOff>
      <xdr:row>4</xdr:row>
      <xdr:rowOff>71437</xdr:rowOff>
    </xdr:to>
    <xdr:pic>
      <xdr:nvPicPr>
        <xdr:cNvPr id="3" name="Picture 2">
          <a:extLst>
            <a:ext uri="{FF2B5EF4-FFF2-40B4-BE49-F238E27FC236}">
              <a16:creationId xmlns:a16="http://schemas.microsoft.com/office/drawing/2014/main" id="{BFB4F283-A16A-4C9C-8555-232E67D35FA8}"/>
            </a:ext>
          </a:extLst>
        </xdr:cNvPr>
        <xdr:cNvPicPr>
          <a:picLocks noChangeAspect="1"/>
        </xdr:cNvPicPr>
      </xdr:nvPicPr>
      <xdr:blipFill>
        <a:blip xmlns:r="http://schemas.openxmlformats.org/officeDocument/2006/relationships" r:embed="rId1"/>
        <a:stretch>
          <a:fillRect/>
        </a:stretch>
      </xdr:blipFill>
      <xdr:spPr>
        <a:xfrm>
          <a:off x="2698749" y="0"/>
          <a:ext cx="1825625" cy="730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341312</xdr:colOff>
      <xdr:row>0</xdr:row>
      <xdr:rowOff>0</xdr:rowOff>
    </xdr:from>
    <xdr:to>
      <xdr:col>5</xdr:col>
      <xdr:colOff>428625</xdr:colOff>
      <xdr:row>5</xdr:row>
      <xdr:rowOff>71438</xdr:rowOff>
    </xdr:to>
    <xdr:pic>
      <xdr:nvPicPr>
        <xdr:cNvPr id="3" name="Picture 2">
          <a:extLst>
            <a:ext uri="{FF2B5EF4-FFF2-40B4-BE49-F238E27FC236}">
              <a16:creationId xmlns:a16="http://schemas.microsoft.com/office/drawing/2014/main" id="{2CC2D90A-BA81-4E22-899F-76B971036D2A}"/>
            </a:ext>
          </a:extLst>
        </xdr:cNvPr>
        <xdr:cNvPicPr>
          <a:picLocks noChangeAspect="1"/>
        </xdr:cNvPicPr>
      </xdr:nvPicPr>
      <xdr:blipFill>
        <a:blip xmlns:r="http://schemas.openxmlformats.org/officeDocument/2006/relationships" r:embed="rId1"/>
        <a:stretch>
          <a:fillRect/>
        </a:stretch>
      </xdr:blipFill>
      <xdr:spPr>
        <a:xfrm>
          <a:off x="1246187" y="0"/>
          <a:ext cx="1801813" cy="8651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127001</xdr:colOff>
      <xdr:row>7</xdr:row>
      <xdr:rowOff>83608</xdr:rowOff>
    </xdr:from>
    <xdr:to>
      <xdr:col>22</xdr:col>
      <xdr:colOff>518584</xdr:colOff>
      <xdr:row>49</xdr:row>
      <xdr:rowOff>105833</xdr:rowOff>
    </xdr:to>
    <xdr:graphicFrame macro="">
      <xdr:nvGraphicFramePr>
        <xdr:cNvPr id="2" name="Chart 1">
          <a:extLst>
            <a:ext uri="{FF2B5EF4-FFF2-40B4-BE49-F238E27FC236}">
              <a16:creationId xmlns:a16="http://schemas.microsoft.com/office/drawing/2014/main" id="{624C1EAC-D577-4D17-B694-C5789704F3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NGET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NG Photo">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1"/>
        </a:solidFill>
        <a:ln w="9525" cap="flat" cmpd="sng" algn="ctr">
          <a:noFill/>
          <a:prstDash val="solid"/>
          <a:round/>
          <a:headEnd type="none" w="med" len="med"/>
          <a:tailEnd type="none" w="med" len="med"/>
        </a:ln>
        <a:effectLst/>
      </a:spPr>
      <a:bodyPr vert="horz" wrap="square" lIns="91434" tIns="45718" rIns="91434" bIns="45718" numCol="1" rtlCol="0" anchor="t" anchorCtr="0" compatLnSpc="1">
        <a:prstTxWarp prst="textNoShape">
          <a:avLst/>
        </a:prstTxWarp>
      </a:bodyPr>
      <a:lstStyle>
        <a:defPPr algn="l">
          <a:spcAft>
            <a:spcPts val="450"/>
          </a:spcAft>
          <a:defRPr sz="1800" dirty="0" err="1">
            <a:solidFill>
              <a:schemeClr val="bg1"/>
            </a:solidFill>
            <a:latin typeface="+mn-lt"/>
            <a:cs typeface="Arial"/>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1" fontAlgn="base" latinLnBrk="0" hangingPunct="1">
          <a:lnSpc>
            <a:spcPct val="100000"/>
          </a:lnSpc>
          <a:spcBef>
            <a:spcPct val="0"/>
          </a:spcBef>
          <a:spcAft>
            <a:spcPct val="0"/>
          </a:spcAft>
          <a:buClrTx/>
          <a:buSzTx/>
          <a:buFontTx/>
          <a:buNone/>
          <a:tabLst/>
          <a:defRPr kumimoji="0" lang="en-GB" sz="2800" b="1" i="0" u="none" strike="noStrike" cap="none" normalizeH="0" baseline="0" smtClean="0">
            <a:ln>
              <a:noFill/>
            </a:ln>
            <a:solidFill>
              <a:srgbClr val="0079C1"/>
            </a:solidFill>
            <a:effectLst/>
            <a:latin typeface="Arial" charset="0"/>
            <a:ea typeface="ＭＳ Ｐゴシック" pitchFamily="48" charset="-128"/>
          </a:defRPr>
        </a:defPPr>
      </a:lstStyle>
    </a:lnDef>
    <a:txDef>
      <a:spPr bwMode="auto">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a:spPr>
      <a:bodyPr vert="horz" wrap="square" lIns="0" tIns="0" rIns="0" bIns="0" numCol="1" rtlCol="0" anchor="t" anchorCtr="0" compatLnSpc="1">
        <a:prstTxWarp prst="textNoShape">
          <a:avLst/>
        </a:prstTxWarp>
        <a:spAutoFit/>
      </a:bodyPr>
      <a:lstStyle>
        <a:defPPr algn="l">
          <a:spcAft>
            <a:spcPts val="600"/>
          </a:spcAft>
          <a:buClr>
            <a:schemeClr val="tx1"/>
          </a:buClr>
          <a:defRPr sz="1800" b="0" kern="0" dirty="0" err="1" smtClean="0">
            <a:solidFill>
              <a:schemeClr val="tx1"/>
            </a:solidFill>
            <a:latin typeface="+mn-lt"/>
            <a:ea typeface="+mn-ea"/>
          </a:defRPr>
        </a:defPPr>
      </a:lstStyle>
    </a:txDef>
  </a:objectDefaults>
  <a:extraClrSchemeLst>
    <a:extraClrScheme>
      <a:clrScheme name="NG Photo 1">
        <a:dk1>
          <a:srgbClr val="000000"/>
        </a:dk1>
        <a:lt1>
          <a:srgbClr val="FFFFFF"/>
        </a:lt1>
        <a:dk2>
          <a:srgbClr val="000000"/>
        </a:dk2>
        <a:lt2>
          <a:srgbClr val="808080"/>
        </a:lt2>
        <a:accent1>
          <a:srgbClr val="00AED9"/>
        </a:accent1>
        <a:accent2>
          <a:srgbClr val="52DA3F"/>
        </a:accent2>
        <a:accent3>
          <a:srgbClr val="FFFFFF"/>
        </a:accent3>
        <a:accent4>
          <a:srgbClr val="000000"/>
        </a:accent4>
        <a:accent5>
          <a:srgbClr val="AAD3E9"/>
        </a:accent5>
        <a:accent6>
          <a:srgbClr val="49C538"/>
        </a:accent6>
        <a:hlink>
          <a:srgbClr val="FF7800"/>
        </a:hlink>
        <a:folHlink>
          <a:srgbClr val="00B090"/>
        </a:folHlink>
      </a:clrScheme>
      <a:clrMap bg1="lt1" tx1="dk1" bg2="lt2" tx2="dk2" accent1="accent1" accent2="accent2" accent3="accent3" accent4="accent4" accent5="accent5" accent6="accent6" hlink="hlink" folHlink="folHlink"/>
    </a:extraClrScheme>
  </a:extraClrSchemeLst>
  <a:custClrLst>
    <a:custClr name="Core Blue">
      <a:srgbClr val="00148C"/>
    </a:custClr>
    <a:custClr name="Light Blue">
      <a:srgbClr val="00AFF0"/>
    </a:custClr>
    <a:custClr name="Green">
      <a:srgbClr val="3CE12D"/>
    </a:custClr>
    <a:custClr name="Red">
      <a:srgbClr val="F53C32"/>
    </a:custClr>
    <a:custClr name="Yellow">
      <a:srgbClr val="FADC00"/>
    </a:custClr>
    <a:custClr name="Dark grey">
      <a:srgbClr val="55555A"/>
    </a:custClr>
    <a:custClr name="Blue">
      <a:srgbClr val="009DDC"/>
    </a:custClr>
    <a:custClr name="Teal">
      <a:srgbClr val="00BEB4"/>
    </a:custClr>
    <a:custClr name="Purple">
      <a:srgbClr val="500A78"/>
    </a:custClr>
    <a:custClr name="Magenta">
      <a:srgbClr val="C800A1"/>
    </a:custClr>
    <a:custClr name="Lilac">
      <a:srgbClr val="AF96DC"/>
    </a:custClr>
    <a:custClr name="Orange">
      <a:srgbClr val="FA4616"/>
    </a:custClr>
    <a:custClr name="Mid Blue">
      <a:srgbClr val="0073CD"/>
    </a:custClr>
    <a:custClr name="Soft orange">
      <a:srgbClr val="FFB45A"/>
    </a:custClr>
    <a:custClr name="Mid green">
      <a:srgbClr val="78A22F"/>
    </a:custClr>
  </a:custClrLst>
  <a:extLst>
    <a:ext uri="{05A4C25C-085E-4340-85A3-A5531E510DB2}">
      <thm15:themeFamily xmlns:thm15="http://schemas.microsoft.com/office/thememl/2012/main" name="NGET Theme" id="{7F929321-8DA6-4115-B5C6-2042910EEA4A}" vid="{B3DBE0EC-44C5-4337-81BF-36C6F70B281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ED12A-091D-4020-8EB9-8F03E1D4E537}">
  <sheetPr codeName="Sheet1">
    <tabColor rgb="FF9516A2"/>
  </sheetPr>
  <dimension ref="A1:W57"/>
  <sheetViews>
    <sheetView showGridLines="0" tabSelected="1" zoomScale="80" zoomScaleNormal="80" workbookViewId="0">
      <selection activeCell="E2" sqref="E2:K5"/>
    </sheetView>
  </sheetViews>
  <sheetFormatPr defaultColWidth="9.453125" defaultRowHeight="12.5" zeroHeight="1" x14ac:dyDescent="0.25"/>
  <cols>
    <col min="1" max="1" width="34.453125" style="5" bestFit="1" customWidth="1"/>
    <col min="2" max="2" width="18.54296875" style="5" bestFit="1" customWidth="1"/>
    <col min="3" max="3" width="14.08984375" style="5" bestFit="1" customWidth="1"/>
    <col min="4" max="5" width="9.453125" style="5" customWidth="1"/>
    <col min="6" max="7" width="15" style="5" bestFit="1" customWidth="1"/>
    <col min="8" max="8" width="14.54296875" style="5" customWidth="1"/>
    <col min="9" max="9" width="9.453125" style="5" customWidth="1"/>
    <col min="10" max="10" width="3.08984375" style="5" customWidth="1"/>
    <col min="11" max="11" width="18.453125" style="5" bestFit="1" customWidth="1"/>
    <col min="12" max="12" width="19.453125" style="5" bestFit="1" customWidth="1"/>
    <col min="13" max="13" width="17.453125" style="5" bestFit="1" customWidth="1"/>
    <col min="14" max="14" width="50.90625" style="5" bestFit="1" customWidth="1"/>
    <col min="15" max="16" width="9.453125" style="5" customWidth="1"/>
    <col min="17" max="20" width="9.453125" style="5"/>
    <col min="21" max="21" width="20.08984375" style="5" customWidth="1"/>
    <col min="22" max="16384" width="9.453125" style="5"/>
  </cols>
  <sheetData>
    <row r="1" spans="1:23" x14ac:dyDescent="0.25">
      <c r="G1" s="193"/>
      <c r="T1" s="193" t="s">
        <v>142</v>
      </c>
    </row>
    <row r="2" spans="1:23" ht="12.75" customHeight="1" x14ac:dyDescent="0.25">
      <c r="D2" s="148"/>
      <c r="E2" s="222" t="s">
        <v>144</v>
      </c>
      <c r="F2" s="222"/>
      <c r="G2" s="222"/>
      <c r="H2" s="222"/>
      <c r="I2" s="222"/>
      <c r="J2" s="222"/>
      <c r="K2" s="222"/>
    </row>
    <row r="3" spans="1:23" x14ac:dyDescent="0.25">
      <c r="C3" s="148"/>
      <c r="D3" s="148"/>
      <c r="E3" s="222"/>
      <c r="F3" s="222"/>
      <c r="G3" s="222"/>
      <c r="H3" s="222"/>
      <c r="I3" s="222"/>
      <c r="J3" s="222"/>
      <c r="K3" s="222"/>
    </row>
    <row r="4" spans="1:23" x14ac:dyDescent="0.25">
      <c r="C4" s="148"/>
      <c r="D4" s="148"/>
      <c r="E4" s="222"/>
      <c r="F4" s="222"/>
      <c r="G4" s="222"/>
      <c r="H4" s="222"/>
      <c r="I4" s="222"/>
      <c r="J4" s="222"/>
      <c r="K4" s="222"/>
    </row>
    <row r="5" spans="1:23" x14ac:dyDescent="0.25">
      <c r="C5" s="148"/>
      <c r="D5" s="148"/>
      <c r="E5" s="222"/>
      <c r="F5" s="222"/>
      <c r="G5" s="222"/>
      <c r="H5" s="222"/>
      <c r="I5" s="222"/>
      <c r="J5" s="222"/>
      <c r="K5" s="222"/>
    </row>
    <row r="6" spans="1:23" x14ac:dyDescent="0.25"/>
    <row r="7" spans="1:23" ht="13" x14ac:dyDescent="0.25">
      <c r="K7" s="214" t="s">
        <v>130</v>
      </c>
      <c r="L7" s="215" t="s">
        <v>129</v>
      </c>
      <c r="M7" s="215" t="s">
        <v>132</v>
      </c>
      <c r="T7" s="194" t="s">
        <v>141</v>
      </c>
      <c r="U7" s="194"/>
      <c r="V7" s="195"/>
      <c r="W7" s="195"/>
    </row>
    <row r="8" spans="1:23" ht="13" x14ac:dyDescent="0.3">
      <c r="A8" s="162" t="s">
        <v>19</v>
      </c>
      <c r="B8" s="208" t="s">
        <v>16</v>
      </c>
      <c r="C8" s="220" t="str">
        <f>IF(B8="","Please select a TO from the drop down menu","Section Complete")</f>
        <v>Section Complete</v>
      </c>
      <c r="D8" s="220"/>
      <c r="E8" s="220"/>
      <c r="F8" s="220"/>
      <c r="G8" s="153"/>
      <c r="H8" s="153"/>
      <c r="I8" s="153"/>
      <c r="K8" s="155" t="s">
        <v>110</v>
      </c>
      <c r="L8" s="202">
        <v>40</v>
      </c>
      <c r="M8" s="184">
        <v>13000000</v>
      </c>
      <c r="N8" s="149" t="str">
        <f>IF(L8="","Please enter a value for Dep Period (number of Years)",IF(M8="","Please enter a value for GAV (£ value)","Section Complete"))</f>
        <v>Section Complete</v>
      </c>
      <c r="O8" s="149"/>
      <c r="P8" s="149"/>
      <c r="Q8" s="149"/>
      <c r="T8" s="194" t="s">
        <v>136</v>
      </c>
      <c r="U8" s="194" t="s">
        <v>137</v>
      </c>
      <c r="V8" s="196" t="b">
        <f>IF(AND($T8=Cap_Contrib,$U8=Option_Cap_Contrib),TRUE,FALSE)</f>
        <v>1</v>
      </c>
      <c r="W8" s="196" t="s">
        <v>32</v>
      </c>
    </row>
    <row r="9" spans="1:23" ht="13" x14ac:dyDescent="0.3">
      <c r="A9" s="163" t="s">
        <v>109</v>
      </c>
      <c r="B9" s="209">
        <v>45432</v>
      </c>
      <c r="C9" s="221" t="str">
        <f>IF(B9="","Please enter a date (dd/mm/yy)","Section Complete")</f>
        <v>Section Complete</v>
      </c>
      <c r="D9" s="221"/>
      <c r="E9" s="221"/>
      <c r="F9" s="221"/>
      <c r="G9" s="154"/>
      <c r="H9" s="154"/>
      <c r="I9" s="154"/>
      <c r="K9" s="156" t="s">
        <v>111</v>
      </c>
      <c r="L9" s="202"/>
      <c r="M9" s="185"/>
      <c r="N9" s="149" t="str">
        <f t="shared" ref="N9:N26" si="0">IF(L9="","Please enter a value for Dep Period (number of Years)",IF(M9="","Please enter a value for GAV (£ value)","Section Complete"))</f>
        <v>Please enter a value for Dep Period (number of Years)</v>
      </c>
      <c r="O9" s="149"/>
      <c r="P9" s="149"/>
      <c r="Q9" s="149"/>
      <c r="T9" s="194" t="s">
        <v>136</v>
      </c>
      <c r="U9" s="194" t="s">
        <v>139</v>
      </c>
      <c r="V9" s="196" t="b">
        <f>IF(AND($T9=Cap_Contrib,$U9=Option_Cap_Contrib),TRUE,FALSE)</f>
        <v>0</v>
      </c>
      <c r="W9" s="196" t="s">
        <v>34</v>
      </c>
    </row>
    <row r="10" spans="1:23" ht="13" x14ac:dyDescent="0.3">
      <c r="A10" s="164"/>
      <c r="B10" s="58"/>
      <c r="C10" s="58"/>
      <c r="D10" s="223"/>
      <c r="E10" s="223"/>
      <c r="F10" s="223"/>
      <c r="G10" s="223"/>
      <c r="H10" s="223"/>
      <c r="I10" s="223"/>
      <c r="K10" s="156" t="s">
        <v>112</v>
      </c>
      <c r="L10" s="187"/>
      <c r="M10" s="185"/>
      <c r="N10" s="149" t="str">
        <f t="shared" si="0"/>
        <v>Please enter a value for Dep Period (number of Years)</v>
      </c>
      <c r="O10" s="149"/>
      <c r="P10" s="149"/>
      <c r="Q10" s="149"/>
      <c r="T10" s="194" t="s">
        <v>138</v>
      </c>
      <c r="U10" s="194" t="s">
        <v>140</v>
      </c>
      <c r="V10" s="196" t="b">
        <f>IF(AND($T10=Cap_Contrib,$U10=Option_Cap_Contrib),TRUE,FALSE)</f>
        <v>0</v>
      </c>
      <c r="W10" s="196" t="s">
        <v>30</v>
      </c>
    </row>
    <row r="11" spans="1:23" ht="13" x14ac:dyDescent="0.3">
      <c r="A11" s="165" t="s">
        <v>58</v>
      </c>
      <c r="B11" s="208" t="s">
        <v>136</v>
      </c>
      <c r="C11" s="220" t="str">
        <f>IF(B11="","Please select from the drop down menu","Section Complete")</f>
        <v>Section Complete</v>
      </c>
      <c r="D11" s="220"/>
      <c r="E11" s="220"/>
      <c r="F11" s="220"/>
      <c r="G11" s="177"/>
      <c r="K11" s="156" t="s">
        <v>113</v>
      </c>
      <c r="L11" s="187"/>
      <c r="M11" s="185"/>
      <c r="N11" s="149" t="str">
        <f t="shared" si="0"/>
        <v>Please enter a value for Dep Period (number of Years)</v>
      </c>
      <c r="O11" s="149"/>
      <c r="P11" s="149"/>
      <c r="Q11" s="149"/>
    </row>
    <row r="12" spans="1:23" ht="13" x14ac:dyDescent="0.3">
      <c r="A12" s="166" t="s">
        <v>72</v>
      </c>
      <c r="B12" s="210" t="s">
        <v>137</v>
      </c>
      <c r="C12" s="219" t="str">
        <f>IF(B12="","Please select from the drop down menu. If not applicable, select NA","Section Complete")</f>
        <v>Section Complete</v>
      </c>
      <c r="D12" s="219"/>
      <c r="E12" s="219"/>
      <c r="F12" s="219"/>
      <c r="G12" s="219"/>
      <c r="K12" s="156" t="s">
        <v>114</v>
      </c>
      <c r="L12" s="187"/>
      <c r="M12" s="185"/>
      <c r="N12" s="149" t="str">
        <f t="shared" si="0"/>
        <v>Please enter a value for Dep Period (number of Years)</v>
      </c>
      <c r="O12" s="149"/>
      <c r="P12" s="149"/>
      <c r="Q12" s="149"/>
    </row>
    <row r="13" spans="1:23" ht="13" x14ac:dyDescent="0.3">
      <c r="A13" s="167" t="s">
        <v>133</v>
      </c>
      <c r="B13" s="211">
        <v>45383</v>
      </c>
      <c r="C13" s="219" t="str">
        <f>IF(B13="","Please enter a date (dd/mm/yy)","Section Complete")</f>
        <v>Section Complete</v>
      </c>
      <c r="D13" s="219"/>
      <c r="E13" s="219"/>
      <c r="F13" s="219"/>
      <c r="G13" s="177"/>
      <c r="K13" s="156" t="s">
        <v>115</v>
      </c>
      <c r="L13" s="187"/>
      <c r="M13" s="185"/>
      <c r="N13" s="149" t="str">
        <f t="shared" si="0"/>
        <v>Please enter a value for Dep Period (number of Years)</v>
      </c>
      <c r="O13" s="149"/>
      <c r="P13" s="149"/>
      <c r="Q13" s="149"/>
      <c r="U13" s="195" t="s">
        <v>6</v>
      </c>
      <c r="V13" s="195" t="str">
        <f>IFERROR(VLOOKUP(TRUE,'User Input'!$V$8:$W$10,2,FALSE),"Please make selection in User Input Tab")</f>
        <v>Cap Con on Completion Type 1</v>
      </c>
    </row>
    <row r="14" spans="1:23" ht="13" x14ac:dyDescent="0.3">
      <c r="A14" s="163" t="s">
        <v>44</v>
      </c>
      <c r="B14" s="212">
        <v>47057</v>
      </c>
      <c r="C14" s="221" t="str">
        <f>IF(B14="","Please enter a date (dd/mm/yy)","Section Complete")</f>
        <v>Section Complete</v>
      </c>
      <c r="D14" s="221"/>
      <c r="E14" s="221"/>
      <c r="F14" s="221"/>
      <c r="G14" s="177"/>
      <c r="H14" s="59"/>
      <c r="I14" s="59"/>
      <c r="J14" s="159"/>
      <c r="K14" s="156" t="s">
        <v>116</v>
      </c>
      <c r="L14" s="187"/>
      <c r="M14" s="185"/>
      <c r="N14" s="149" t="str">
        <f t="shared" si="0"/>
        <v>Please enter a value for Dep Period (number of Years)</v>
      </c>
      <c r="O14" s="149"/>
      <c r="P14" s="149"/>
      <c r="Q14" s="149"/>
    </row>
    <row r="15" spans="1:23" ht="13" x14ac:dyDescent="0.3">
      <c r="A15" s="168"/>
      <c r="H15" s="159"/>
      <c r="I15" s="159"/>
      <c r="J15" s="159"/>
      <c r="K15" s="156" t="s">
        <v>117</v>
      </c>
      <c r="L15" s="187"/>
      <c r="M15" s="185"/>
      <c r="N15" s="149" t="str">
        <f t="shared" si="0"/>
        <v>Please enter a value for Dep Period (number of Years)</v>
      </c>
      <c r="O15" s="149"/>
      <c r="P15" s="149"/>
      <c r="Q15" s="149"/>
    </row>
    <row r="16" spans="1:23" ht="13" x14ac:dyDescent="0.3">
      <c r="A16" s="213" t="s">
        <v>131</v>
      </c>
      <c r="H16" s="159"/>
      <c r="I16" s="159"/>
      <c r="J16" s="159"/>
      <c r="K16" s="156" t="s">
        <v>118</v>
      </c>
      <c r="L16" s="187"/>
      <c r="M16" s="185"/>
      <c r="N16" s="149" t="str">
        <f t="shared" si="0"/>
        <v>Please enter a value for Dep Period (number of Years)</v>
      </c>
      <c r="O16" s="149"/>
      <c r="P16" s="149"/>
      <c r="Q16" s="149"/>
    </row>
    <row r="17" spans="1:17" ht="12.75" customHeight="1" x14ac:dyDescent="0.3">
      <c r="A17" s="169" t="s">
        <v>24</v>
      </c>
      <c r="B17" s="172" t="s">
        <v>25</v>
      </c>
      <c r="C17" s="172" t="s">
        <v>20</v>
      </c>
      <c r="D17" s="61"/>
      <c r="E17" s="61"/>
      <c r="F17" s="61"/>
      <c r="K17" s="156" t="s">
        <v>119</v>
      </c>
      <c r="L17" s="187"/>
      <c r="M17" s="185"/>
      <c r="N17" s="149" t="str">
        <f t="shared" si="0"/>
        <v>Please enter a value for Dep Period (number of Years)</v>
      </c>
      <c r="O17" s="149"/>
      <c r="P17" s="149"/>
      <c r="Q17" s="149"/>
    </row>
    <row r="18" spans="1:17" ht="13" x14ac:dyDescent="0.3">
      <c r="A18" s="170" t="s">
        <v>51</v>
      </c>
      <c r="B18" s="173">
        <f>MAX(L8:L26)</f>
        <v>40</v>
      </c>
      <c r="C18" s="174">
        <f>SUMIF(L8:L26,B18,M8:M26)</f>
        <v>13000000</v>
      </c>
      <c r="D18" s="58"/>
      <c r="E18" s="58"/>
      <c r="F18" s="159"/>
      <c r="K18" s="156" t="s">
        <v>120</v>
      </c>
      <c r="L18" s="187"/>
      <c r="M18" s="185"/>
      <c r="N18" s="149" t="str">
        <f t="shared" si="0"/>
        <v>Please enter a value for Dep Period (number of Years)</v>
      </c>
      <c r="O18" s="149"/>
      <c r="P18" s="149"/>
      <c r="Q18" s="149"/>
    </row>
    <row r="19" spans="1:17" ht="13" x14ac:dyDescent="0.3">
      <c r="A19" s="171" t="s">
        <v>52</v>
      </c>
      <c r="B19" s="175">
        <f>IF(MIN(L8:L26)=B18,0,MIN(L8:L26))</f>
        <v>0</v>
      </c>
      <c r="C19" s="176">
        <f>SUMIF(L8:L26,B19,M8:M26)</f>
        <v>0</v>
      </c>
      <c r="D19" s="60"/>
      <c r="E19" s="60"/>
      <c r="F19" s="159"/>
      <c r="K19" s="156" t="s">
        <v>121</v>
      </c>
      <c r="L19" s="187"/>
      <c r="M19" s="185"/>
      <c r="N19" s="149" t="str">
        <f t="shared" si="0"/>
        <v>Please enter a value for Dep Period (number of Years)</v>
      </c>
      <c r="O19" s="149"/>
      <c r="P19" s="149"/>
      <c r="Q19" s="149"/>
    </row>
    <row r="20" spans="1:17" ht="13" x14ac:dyDescent="0.3">
      <c r="K20" s="156" t="s">
        <v>122</v>
      </c>
      <c r="L20" s="187"/>
      <c r="M20" s="185"/>
      <c r="N20" s="149" t="str">
        <f t="shared" si="0"/>
        <v>Please enter a value for Dep Period (number of Years)</v>
      </c>
      <c r="O20" s="149"/>
      <c r="P20" s="149"/>
      <c r="Q20" s="149"/>
    </row>
    <row r="21" spans="1:17" ht="13" x14ac:dyDescent="0.3">
      <c r="K21" s="156" t="s">
        <v>123</v>
      </c>
      <c r="L21" s="187"/>
      <c r="M21" s="185"/>
      <c r="N21" s="149" t="str">
        <f t="shared" si="0"/>
        <v>Please enter a value for Dep Period (number of Years)</v>
      </c>
      <c r="O21" s="149"/>
      <c r="P21" s="149"/>
      <c r="Q21" s="149"/>
    </row>
    <row r="22" spans="1:17" ht="13" x14ac:dyDescent="0.3">
      <c r="A22" s="158" t="s">
        <v>22</v>
      </c>
      <c r="K22" s="156" t="s">
        <v>124</v>
      </c>
      <c r="L22" s="187"/>
      <c r="M22" s="185"/>
      <c r="N22" s="149" t="str">
        <f t="shared" si="0"/>
        <v>Please enter a value for Dep Period (number of Years)</v>
      </c>
      <c r="O22" s="149"/>
      <c r="P22" s="149"/>
      <c r="Q22" s="149"/>
    </row>
    <row r="23" spans="1:17" ht="13" x14ac:dyDescent="0.3">
      <c r="A23" s="218" t="s">
        <v>135</v>
      </c>
      <c r="B23" s="218"/>
      <c r="C23" s="218"/>
      <c r="D23" s="218"/>
      <c r="E23" s="218"/>
      <c r="F23" s="218"/>
      <c r="G23" s="218"/>
      <c r="H23" s="218"/>
      <c r="I23" s="218"/>
      <c r="K23" s="156" t="s">
        <v>125</v>
      </c>
      <c r="L23" s="187"/>
      <c r="M23" s="185"/>
      <c r="N23" s="149" t="str">
        <f t="shared" si="0"/>
        <v>Please enter a value for Dep Period (number of Years)</v>
      </c>
      <c r="O23" s="149"/>
      <c r="P23" s="149"/>
      <c r="Q23" s="149"/>
    </row>
    <row r="24" spans="1:17" ht="13" x14ac:dyDescent="0.3">
      <c r="A24" s="218"/>
      <c r="B24" s="218"/>
      <c r="C24" s="218"/>
      <c r="D24" s="218"/>
      <c r="E24" s="218"/>
      <c r="F24" s="218"/>
      <c r="G24" s="218"/>
      <c r="H24" s="218"/>
      <c r="I24" s="218"/>
      <c r="K24" s="156" t="s">
        <v>126</v>
      </c>
      <c r="L24" s="187"/>
      <c r="M24" s="185"/>
      <c r="N24" s="149" t="str">
        <f t="shared" si="0"/>
        <v>Please enter a value for Dep Period (number of Years)</v>
      </c>
      <c r="O24" s="149"/>
      <c r="P24" s="149"/>
      <c r="Q24" s="149"/>
    </row>
    <row r="25" spans="1:17" ht="13" x14ac:dyDescent="0.3">
      <c r="K25" s="156" t="s">
        <v>127</v>
      </c>
      <c r="L25" s="187"/>
      <c r="M25" s="185"/>
      <c r="N25" s="149" t="str">
        <f t="shared" si="0"/>
        <v>Please enter a value for Dep Period (number of Years)</v>
      </c>
      <c r="O25" s="149"/>
      <c r="P25" s="149"/>
      <c r="Q25" s="149"/>
    </row>
    <row r="26" spans="1:17" ht="13" x14ac:dyDescent="0.3">
      <c r="K26" s="157" t="s">
        <v>128</v>
      </c>
      <c r="L26" s="188"/>
      <c r="M26" s="186"/>
      <c r="N26" s="149" t="str">
        <f t="shared" si="0"/>
        <v>Please enter a value for Dep Period (number of Years)</v>
      </c>
      <c r="O26" s="149"/>
      <c r="P26" s="149"/>
      <c r="Q26" s="149"/>
    </row>
    <row r="27" spans="1:17" x14ac:dyDescent="0.25">
      <c r="K27" s="58"/>
    </row>
    <row r="28" spans="1:17" ht="12.75" hidden="1" customHeight="1" x14ac:dyDescent="0.25"/>
    <row r="29" spans="1:17" ht="12.75" hidden="1" customHeight="1" x14ac:dyDescent="0.25"/>
    <row r="30" spans="1:17" ht="12.75" hidden="1" customHeight="1" x14ac:dyDescent="0.25">
      <c r="H30" s="58"/>
      <c r="I30" s="58"/>
    </row>
    <row r="31" spans="1:17" ht="12.75" hidden="1" customHeight="1" x14ac:dyDescent="0.25">
      <c r="A31" s="218"/>
      <c r="B31" s="218"/>
      <c r="C31" s="218"/>
      <c r="D31" s="218"/>
      <c r="E31" s="218"/>
      <c r="F31" s="218"/>
      <c r="G31" s="218"/>
      <c r="H31" s="218"/>
      <c r="I31" s="218"/>
    </row>
    <row r="32" spans="1:17" ht="12.75" hidden="1" customHeight="1" x14ac:dyDescent="0.25"/>
    <row r="33" spans="1:16" ht="12.75" hidden="1" customHeight="1" x14ac:dyDescent="0.25"/>
    <row r="34" spans="1:16" ht="12.75" hidden="1" customHeight="1" x14ac:dyDescent="0.25"/>
    <row r="35" spans="1:16" ht="12.75" hidden="1" customHeight="1" x14ac:dyDescent="0.25">
      <c r="A35" s="160"/>
    </row>
    <row r="36" spans="1:16" ht="12.75" hidden="1" customHeight="1" x14ac:dyDescent="0.25">
      <c r="A36" s="161"/>
    </row>
    <row r="37" spans="1:16" ht="12.75" hidden="1" customHeight="1" x14ac:dyDescent="0.25">
      <c r="A37" s="161"/>
    </row>
    <row r="38" spans="1:16" ht="12.75" hidden="1" customHeight="1" x14ac:dyDescent="0.25">
      <c r="A38" s="28"/>
    </row>
    <row r="39" spans="1:16" ht="12.75" hidden="1" customHeight="1" x14ac:dyDescent="0.25">
      <c r="A39" s="161"/>
    </row>
    <row r="40" spans="1:16" ht="12.75" hidden="1" customHeight="1" x14ac:dyDescent="0.25">
      <c r="A40" s="160"/>
    </row>
    <row r="41" spans="1:16" ht="12.75" hidden="1" customHeight="1" x14ac:dyDescent="0.25">
      <c r="J41" s="58"/>
      <c r="K41" s="58"/>
      <c r="L41" s="58"/>
      <c r="M41" s="58"/>
      <c r="N41" s="58"/>
      <c r="O41" s="58"/>
      <c r="P41" s="58"/>
    </row>
    <row r="42" spans="1:16" ht="12.75" hidden="1" customHeight="1" x14ac:dyDescent="0.25"/>
    <row r="43" spans="1:16" ht="12.75" hidden="1" customHeight="1" x14ac:dyDescent="0.25">
      <c r="A43" s="161"/>
    </row>
    <row r="44" spans="1:16" ht="12.75" hidden="1" customHeight="1" x14ac:dyDescent="0.25"/>
    <row r="45" spans="1:16" ht="12.75" hidden="1" customHeight="1" x14ac:dyDescent="0.25"/>
    <row r="46" spans="1:16" x14ac:dyDescent="0.25"/>
    <row r="47" spans="1:16" x14ac:dyDescent="0.25"/>
    <row r="48" spans="1:16" x14ac:dyDescent="0.25"/>
    <row r="49" x14ac:dyDescent="0.25"/>
    <row r="50" x14ac:dyDescent="0.25"/>
    <row r="51" x14ac:dyDescent="0.25"/>
    <row r="52" x14ac:dyDescent="0.25"/>
    <row r="53" x14ac:dyDescent="0.25"/>
    <row r="54" x14ac:dyDescent="0.25"/>
    <row r="55" x14ac:dyDescent="0.25"/>
    <row r="56" x14ac:dyDescent="0.25"/>
    <row r="57" x14ac:dyDescent="0.25"/>
  </sheetData>
  <mergeCells count="10">
    <mergeCell ref="E2:K5"/>
    <mergeCell ref="A23:I24"/>
    <mergeCell ref="D10:I10"/>
    <mergeCell ref="C13:F13"/>
    <mergeCell ref="C14:F14"/>
    <mergeCell ref="A31:I31"/>
    <mergeCell ref="C12:G12"/>
    <mergeCell ref="C8:F8"/>
    <mergeCell ref="C11:F11"/>
    <mergeCell ref="C9:F9"/>
  </mergeCells>
  <phoneticPr fontId="33" type="noConversion"/>
  <conditionalFormatting sqref="C8:F9">
    <cfRule type="expression" dxfId="10" priority="12">
      <formula>$C$8="Section Complete"</formula>
    </cfRule>
  </conditionalFormatting>
  <conditionalFormatting sqref="C11:F11">
    <cfRule type="expression" dxfId="9" priority="11">
      <formula>$C$11="Section Complete"</formula>
    </cfRule>
  </conditionalFormatting>
  <conditionalFormatting sqref="C12">
    <cfRule type="expression" dxfId="8" priority="9">
      <formula>$C$12="Section Complete"</formula>
    </cfRule>
  </conditionalFormatting>
  <conditionalFormatting sqref="C13:F13">
    <cfRule type="expression" dxfId="7" priority="8">
      <formula>$C$13="Section Complete"</formula>
    </cfRule>
  </conditionalFormatting>
  <conditionalFormatting sqref="C14:F14">
    <cfRule type="expression" dxfId="6" priority="7">
      <formula>$C$13="Section Complete"</formula>
    </cfRule>
  </conditionalFormatting>
  <conditionalFormatting sqref="N8:Q26">
    <cfRule type="expression" dxfId="5" priority="13">
      <formula>N8="Section Complete"</formula>
    </cfRule>
  </conditionalFormatting>
  <dataValidations count="3">
    <dataValidation type="list" allowBlank="1" showInputMessage="1" showErrorMessage="1" sqref="B11" xr:uid="{875FA63A-64C8-433B-8C99-1FDA0CC9D3CC}">
      <formula1>"Yes, No"</formula1>
    </dataValidation>
    <dataValidation type="list" allowBlank="1" showInputMessage="1" showErrorMessage="1" sqref="B12" xr:uid="{CF344810-C1FC-4A62-AC9D-7CD6581B19DF}">
      <formula1>OFFSET(Start,MATCH(Cap_Contrib,Option_Lookup,0),1,COUNTIF(Option_Lookup,Cap_Contrib),1)</formula1>
    </dataValidation>
    <dataValidation type="date" allowBlank="1" showInputMessage="1" showErrorMessage="1" sqref="B9" xr:uid="{9661706A-5C4D-46E5-A4E0-B525419050B1}">
      <formula1>32874</formula1>
      <formula2>2958465</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7BF19DC-7FDE-4421-8C49-530C5997E834}">
          <x14:formula1>
            <xm:f>Data!$B$2:$B$4</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E195F-F79E-4B1A-B502-14FC02F2B2C6}">
  <sheetPr codeName="Sheet2">
    <tabColor rgb="FFB42499"/>
  </sheetPr>
  <dimension ref="B2:Q57"/>
  <sheetViews>
    <sheetView showGridLines="0" topLeftCell="A36" zoomScale="115" zoomScaleNormal="115" workbookViewId="0">
      <selection activeCell="G3" sqref="G3:Q8"/>
    </sheetView>
  </sheetViews>
  <sheetFormatPr defaultRowHeight="12.5" x14ac:dyDescent="0.25"/>
  <cols>
    <col min="1" max="1" width="3.54296875" customWidth="1"/>
    <col min="2" max="2" width="24.54296875" bestFit="1" customWidth="1"/>
    <col min="3" max="3" width="12.54296875" bestFit="1" customWidth="1"/>
    <col min="4" max="4" width="12.54296875" customWidth="1"/>
    <col min="5" max="5" width="16.08984375" style="5" bestFit="1" customWidth="1"/>
    <col min="6" max="6" width="4.453125" style="5" customWidth="1"/>
    <col min="7" max="7" width="12.54296875" style="5" bestFit="1" customWidth="1"/>
    <col min="8" max="15" width="12.54296875" bestFit="1" customWidth="1"/>
  </cols>
  <sheetData>
    <row r="2" spans="2:17" ht="12.75" customHeight="1" x14ac:dyDescent="0.25"/>
    <row r="3" spans="2:17" ht="12.75" customHeight="1" x14ac:dyDescent="0.25">
      <c r="G3" s="222" t="s">
        <v>145</v>
      </c>
      <c r="H3" s="222"/>
      <c r="I3" s="222"/>
      <c r="J3" s="222"/>
      <c r="K3" s="222"/>
      <c r="L3" s="222"/>
      <c r="M3" s="222"/>
      <c r="N3" s="222"/>
      <c r="O3" s="222"/>
      <c r="P3" s="222"/>
      <c r="Q3" s="222"/>
    </row>
    <row r="4" spans="2:17" x14ac:dyDescent="0.25">
      <c r="G4" s="222"/>
      <c r="H4" s="222"/>
      <c r="I4" s="222"/>
      <c r="J4" s="222"/>
      <c r="K4" s="222"/>
      <c r="L4" s="222"/>
      <c r="M4" s="222"/>
      <c r="N4" s="222"/>
      <c r="O4" s="222"/>
      <c r="P4" s="222"/>
      <c r="Q4" s="222"/>
    </row>
    <row r="5" spans="2:17" x14ac:dyDescent="0.25">
      <c r="G5" s="222"/>
      <c r="H5" s="222"/>
      <c r="I5" s="222"/>
      <c r="J5" s="222"/>
      <c r="K5" s="222"/>
      <c r="L5" s="222"/>
      <c r="M5" s="222"/>
      <c r="N5" s="222"/>
      <c r="O5" s="222"/>
      <c r="P5" s="222"/>
      <c r="Q5" s="222"/>
    </row>
    <row r="6" spans="2:17" ht="13" x14ac:dyDescent="0.25">
      <c r="B6" s="182" t="s">
        <v>36</v>
      </c>
      <c r="C6" s="216">
        <v>45494</v>
      </c>
      <c r="G6" s="222"/>
      <c r="H6" s="222"/>
      <c r="I6" s="222"/>
      <c r="J6" s="222"/>
      <c r="K6" s="222"/>
      <c r="L6" s="222"/>
      <c r="M6" s="222"/>
      <c r="N6" s="222"/>
      <c r="O6" s="222"/>
      <c r="P6" s="222"/>
      <c r="Q6" s="222"/>
    </row>
    <row r="7" spans="2:17" ht="13" x14ac:dyDescent="0.25">
      <c r="B7" s="183" t="s">
        <v>37</v>
      </c>
      <c r="C7" s="181">
        <f>IF(C6&lt;&gt;0,YEAR(C6)+(MONTH(C6)&gt;=4)-1,0)</f>
        <v>2024</v>
      </c>
      <c r="G7" s="222"/>
      <c r="H7" s="222"/>
      <c r="I7" s="222"/>
      <c r="J7" s="222"/>
      <c r="K7" s="222"/>
      <c r="L7" s="222"/>
      <c r="M7" s="222"/>
      <c r="N7" s="222"/>
      <c r="O7" s="222"/>
      <c r="P7" s="222"/>
      <c r="Q7" s="222"/>
    </row>
    <row r="8" spans="2:17" ht="13" x14ac:dyDescent="0.25">
      <c r="B8" s="183" t="s">
        <v>108</v>
      </c>
      <c r="C8" s="217">
        <v>2024</v>
      </c>
      <c r="G8" s="222"/>
      <c r="H8" s="222"/>
      <c r="I8" s="222"/>
      <c r="J8" s="222"/>
      <c r="K8" s="222"/>
      <c r="L8" s="222"/>
      <c r="M8" s="222"/>
      <c r="N8" s="222"/>
      <c r="O8" s="222"/>
      <c r="P8" s="222"/>
      <c r="Q8" s="222"/>
    </row>
    <row r="9" spans="2:17" x14ac:dyDescent="0.25">
      <c r="G9" s="147">
        <f>IFERROR(SUM(VLOOKUP(G10,Data!$F:$G,2,FALSE),-1),"")</f>
        <v>6.4899999999999958E-2</v>
      </c>
      <c r="H9" s="147" t="str">
        <f>IFERROR(SUM(VLOOKUP(H10,Data!$F:$G,2,FALSE),-1),"")</f>
        <v/>
      </c>
      <c r="I9" s="147" t="str">
        <f>IFERROR(SUM(VLOOKUP(I10,Data!$F:$G,2,FALSE),-1),"")</f>
        <v/>
      </c>
      <c r="J9" s="147" t="str">
        <f>IFERROR(SUM(VLOOKUP(J10,Data!$F:$G,2,FALSE),-1),"")</f>
        <v/>
      </c>
      <c r="K9" s="147" t="str">
        <f>IFERROR(SUM(VLOOKUP(K10,Data!$F:$G,2,FALSE),-1),"")</f>
        <v/>
      </c>
      <c r="L9" s="147" t="str">
        <f>IFERROR(SUM(VLOOKUP(L10,Data!$F:$G,2,FALSE),-1),"")</f>
        <v/>
      </c>
      <c r="M9" s="147" t="str">
        <f>IFERROR(SUM(VLOOKUP(M10,Data!$F:$G,2,FALSE),-1),"")</f>
        <v/>
      </c>
      <c r="N9" s="147" t="str">
        <f>IFERROR(SUM(VLOOKUP(N10,Data!$F:$G,2,FALSE),-1),"")</f>
        <v/>
      </c>
      <c r="O9" s="147" t="str">
        <f>IFERROR(SUM(VLOOKUP(O10,Data!$F:$G,2,FALSE),-1),"")</f>
        <v/>
      </c>
    </row>
    <row r="10" spans="2:17" ht="13" x14ac:dyDescent="0.25">
      <c r="B10" s="180" t="s">
        <v>105</v>
      </c>
      <c r="C10" s="180" t="s">
        <v>106</v>
      </c>
      <c r="D10" s="180" t="s">
        <v>37</v>
      </c>
      <c r="E10" s="180" t="s">
        <v>107</v>
      </c>
      <c r="G10" s="180">
        <f>IF(C6&lt;&gt;0,YEAR(C6)+(MONTH(C6)&gt;=4)-1,0)</f>
        <v>2024</v>
      </c>
      <c r="H10" s="180" t="str">
        <f>IFERROR(IF(G10+1&gt;$C$8,"",G10+1),"")</f>
        <v/>
      </c>
      <c r="I10" s="180" t="str">
        <f t="shared" ref="I10:O10" si="0">IFERROR(IF(H10+1&gt;$C$8,"",H10+1),"")</f>
        <v/>
      </c>
      <c r="J10" s="180" t="str">
        <f t="shared" si="0"/>
        <v/>
      </c>
      <c r="K10" s="180" t="str">
        <f t="shared" si="0"/>
        <v/>
      </c>
      <c r="L10" s="180" t="str">
        <f t="shared" si="0"/>
        <v/>
      </c>
      <c r="M10" s="180" t="str">
        <f t="shared" si="0"/>
        <v/>
      </c>
      <c r="N10" s="180" t="str">
        <f t="shared" si="0"/>
        <v/>
      </c>
      <c r="O10" s="180" t="str">
        <f t="shared" si="0"/>
        <v/>
      </c>
    </row>
    <row r="11" spans="2:17" s="5" customFormat="1" ht="13" x14ac:dyDescent="0.25">
      <c r="B11" s="146"/>
      <c r="C11" s="142"/>
      <c r="D11" s="178" t="str">
        <f>IF(B11="","",IF(B11&lt;&gt;0,YEAR(B11)+(MONTH(B11)&gt;=4)-1,0))</f>
        <v/>
      </c>
      <c r="E11" s="179" t="str">
        <f>IFERROR(HLOOKUP(D11,$G$10:O11,COUNTA($B$10:B11),FALSE),"")</f>
        <v/>
      </c>
      <c r="G11" s="179" t="str">
        <f>IF(C11="","",C11)</f>
        <v/>
      </c>
      <c r="H11" s="179" t="str">
        <f>IFERROR(SUM(G11*VLOOKUP($H$10,Data!$F:$G,2,FALSE)),"")</f>
        <v/>
      </c>
      <c r="I11" s="179" t="str">
        <f>IFERROR(SUM(H11*VLOOKUP($I$10,Data!$F:$G,2,FALSE)),"")</f>
        <v/>
      </c>
      <c r="J11" s="179" t="str">
        <f>IFERROR(SUM(I11*VLOOKUP($J$10,Data!$F:$G,2,FALSE)),"")</f>
        <v/>
      </c>
      <c r="K11" s="179" t="str">
        <f>IFERROR(SUM(J11*VLOOKUP($K$10,Data!$F:$G,2,FALSE)),"")</f>
        <v/>
      </c>
      <c r="L11" s="179" t="str">
        <f>IFERROR(SUM(K11*VLOOKUP($L$10,Data!$F:$G,2,FALSE)),"")</f>
        <v/>
      </c>
      <c r="M11" s="179" t="str">
        <f>IFERROR(SUM(L11*VLOOKUP($M$10,Data!$F:$G,2,FALSE)),"")</f>
        <v/>
      </c>
      <c r="N11" s="179" t="str">
        <f>IFERROR(SUM(M11*VLOOKUP($N$10,Data!$F:$G,2,FALSE)),"")</f>
        <v/>
      </c>
      <c r="O11" s="179" t="str">
        <f>IFERROR(SUM(N11*VLOOKUP($O$10,Data!$F:$G,2,FALSE)),"")</f>
        <v/>
      </c>
    </row>
    <row r="12" spans="2:17" ht="13" x14ac:dyDescent="0.25">
      <c r="B12" s="143"/>
      <c r="C12" s="142"/>
      <c r="D12" s="178" t="str">
        <f t="shared" ref="D12" si="1">IF(B12="","",IF(B12&lt;&gt;0,YEAR(B12)+(MONTH(B12)&gt;=4)-1,0))</f>
        <v/>
      </c>
      <c r="E12" s="179" t="str">
        <f>IFERROR(HLOOKUP(D12,$G$10:O12,COUNTA($B$10:B12),FALSE),"")</f>
        <v/>
      </c>
      <c r="G12" s="179" t="str">
        <f t="shared" ref="G12:G25" si="2">IF(C12="","",C12)</f>
        <v/>
      </c>
      <c r="H12" s="179" t="str">
        <f>IFERROR(SUM(G12*VLOOKUP($H$10,Data!$F:$G,2,FALSE)),"")</f>
        <v/>
      </c>
      <c r="I12" s="179" t="str">
        <f>IFERROR(SUM(H12*VLOOKUP($I$10,Data!$F:$G,2,FALSE)),"")</f>
        <v/>
      </c>
      <c r="J12" s="179" t="str">
        <f>IFERROR(SUM(I12*VLOOKUP($J$10,Data!$F:$G,2,FALSE)),"")</f>
        <v/>
      </c>
      <c r="K12" s="179" t="str">
        <f>IFERROR(SUM(J12*VLOOKUP($K$10,Data!$F:$G,2,FALSE)),"")</f>
        <v/>
      </c>
      <c r="L12" s="179" t="str">
        <f>IFERROR(SUM(K12*VLOOKUP($L$10,Data!$F:$G,2,FALSE)),"")</f>
        <v/>
      </c>
      <c r="M12" s="179" t="str">
        <f>IFERROR(SUM(L12*VLOOKUP($M$10,Data!$F:$G,2,FALSE)),"")</f>
        <v/>
      </c>
      <c r="N12" s="179" t="str">
        <f>IFERROR(SUM(M12*VLOOKUP($N$10,Data!$F:$G,2,FALSE)),"")</f>
        <v/>
      </c>
      <c r="O12" s="179" t="str">
        <f>IFERROR(SUM(N12*VLOOKUP($O$10,Data!$F:$G,2,FALSE)),"")</f>
        <v/>
      </c>
    </row>
    <row r="13" spans="2:17" ht="13" x14ac:dyDescent="0.25">
      <c r="B13" s="143"/>
      <c r="C13" s="142"/>
      <c r="D13" s="178" t="str">
        <f t="shared" ref="D13:D45" si="3">IF(B13="","",IF(B13&lt;&gt;0,YEAR(B13)+(MONTH(B13)&gt;=4)-1,0))</f>
        <v/>
      </c>
      <c r="E13" s="179" t="str">
        <f>IFERROR(HLOOKUP(D13,$G$10:O13,COUNTA($B$10:B13),FALSE),"")</f>
        <v/>
      </c>
      <c r="G13" s="179" t="str">
        <f t="shared" si="2"/>
        <v/>
      </c>
      <c r="H13" s="179" t="str">
        <f>IFERROR(SUM(G13*VLOOKUP($H$10,Data!$F:$G,2,FALSE)),"")</f>
        <v/>
      </c>
      <c r="I13" s="179" t="str">
        <f>IFERROR(SUM(H13*VLOOKUP($I$10,Data!$F:$G,2,FALSE)),"")</f>
        <v/>
      </c>
      <c r="J13" s="179" t="str">
        <f>IFERROR(SUM(I13*VLOOKUP($J$10,Data!$F:$G,2,FALSE)),"")</f>
        <v/>
      </c>
      <c r="K13" s="179" t="str">
        <f>IFERROR(SUM(J13*VLOOKUP($K$10,Data!$F:$G,2,FALSE)),"")</f>
        <v/>
      </c>
      <c r="L13" s="179" t="str">
        <f>IFERROR(SUM(K13*VLOOKUP($L$10,Data!$F:$G,2,FALSE)),"")</f>
        <v/>
      </c>
      <c r="M13" s="179" t="str">
        <f>IFERROR(SUM(L13*VLOOKUP($M$10,Data!$F:$G,2,FALSE)),"")</f>
        <v/>
      </c>
      <c r="N13" s="179" t="str">
        <f>IFERROR(SUM(M13*VLOOKUP($N$10,Data!$F:$G,2,FALSE)),"")</f>
        <v/>
      </c>
      <c r="O13" s="179" t="str">
        <f>IFERROR(SUM(N13*VLOOKUP($O$10,Data!$F:$G,2,FALSE)),"")</f>
        <v/>
      </c>
    </row>
    <row r="14" spans="2:17" ht="13" x14ac:dyDescent="0.25">
      <c r="B14" s="143"/>
      <c r="C14" s="142"/>
      <c r="D14" s="178" t="str">
        <f t="shared" si="3"/>
        <v/>
      </c>
      <c r="E14" s="179" t="str">
        <f>IFERROR(HLOOKUP(D14,$G$10:O14,COUNTA($B$10:B14),FALSE),"")</f>
        <v/>
      </c>
      <c r="G14" s="179" t="str">
        <f t="shared" si="2"/>
        <v/>
      </c>
      <c r="H14" s="179" t="str">
        <f>IFERROR(SUM(G14*VLOOKUP($H$10,Data!$F:$G,2,FALSE)),"")</f>
        <v/>
      </c>
      <c r="I14" s="179" t="str">
        <f>IFERROR(SUM(H14*VLOOKUP($I$10,Data!$F:$G,2,FALSE)),"")</f>
        <v/>
      </c>
      <c r="J14" s="179" t="str">
        <f>IFERROR(SUM(I14*VLOOKUP($J$10,Data!$F:$G,2,FALSE)),"")</f>
        <v/>
      </c>
      <c r="K14" s="179" t="str">
        <f>IFERROR(SUM(J14*VLOOKUP($K$10,Data!$F:$G,2,FALSE)),"")</f>
        <v/>
      </c>
      <c r="L14" s="179" t="str">
        <f>IFERROR(SUM(K14*VLOOKUP($L$10,Data!$F:$G,2,FALSE)),"")</f>
        <v/>
      </c>
      <c r="M14" s="179" t="str">
        <f>IFERROR(SUM(L14*VLOOKUP($M$10,Data!$F:$G,2,FALSE)),"")</f>
        <v/>
      </c>
      <c r="N14" s="179" t="str">
        <f>IFERROR(SUM(M14*VLOOKUP($N$10,Data!$F:$G,2,FALSE)),"")</f>
        <v/>
      </c>
      <c r="O14" s="179" t="str">
        <f>IFERROR(SUM(N14*VLOOKUP($O$10,Data!$F:$G,2,FALSE)),"")</f>
        <v/>
      </c>
    </row>
    <row r="15" spans="2:17" ht="13" x14ac:dyDescent="0.25">
      <c r="B15" s="143"/>
      <c r="C15" s="142"/>
      <c r="D15" s="178" t="str">
        <f t="shared" si="3"/>
        <v/>
      </c>
      <c r="E15" s="179" t="str">
        <f>IFERROR(HLOOKUP(D15,$G$10:O15,COUNTA($B$10:B15),FALSE),"")</f>
        <v/>
      </c>
      <c r="G15" s="179" t="str">
        <f t="shared" si="2"/>
        <v/>
      </c>
      <c r="H15" s="179" t="str">
        <f>IFERROR(SUM(G15*VLOOKUP($H$10,Data!$F:$G,2,FALSE)),"")</f>
        <v/>
      </c>
      <c r="I15" s="179" t="str">
        <f>IFERROR(SUM(H15*VLOOKUP($I$10,Data!$F:$G,2,FALSE)),"")</f>
        <v/>
      </c>
      <c r="J15" s="179" t="str">
        <f>IFERROR(SUM(I15*VLOOKUP($J$10,Data!$F:$G,2,FALSE)),"")</f>
        <v/>
      </c>
      <c r="K15" s="179" t="str">
        <f>IFERROR(SUM(J15*VLOOKUP($K$10,Data!$F:$G,2,FALSE)),"")</f>
        <v/>
      </c>
      <c r="L15" s="179" t="str">
        <f>IFERROR(SUM(K15*VLOOKUP($L$10,Data!$F:$G,2,FALSE)),"")</f>
        <v/>
      </c>
      <c r="M15" s="179" t="str">
        <f>IFERROR(SUM(L15*VLOOKUP($M$10,Data!$F:$G,2,FALSE)),"")</f>
        <v/>
      </c>
      <c r="N15" s="179" t="str">
        <f>IFERROR(SUM(M15*VLOOKUP($N$10,Data!$F:$G,2,FALSE)),"")</f>
        <v/>
      </c>
      <c r="O15" s="179" t="str">
        <f>IFERROR(SUM(N15*VLOOKUP($O$10,Data!$F:$G,2,FALSE)),"")</f>
        <v/>
      </c>
    </row>
    <row r="16" spans="2:17" ht="13" x14ac:dyDescent="0.25">
      <c r="B16" s="143"/>
      <c r="C16" s="142"/>
      <c r="D16" s="178" t="str">
        <f t="shared" si="3"/>
        <v/>
      </c>
      <c r="E16" s="179" t="str">
        <f>IFERROR(HLOOKUP(D16,$G$10:O16,COUNTA($B$10:B16),FALSE),"")</f>
        <v/>
      </c>
      <c r="G16" s="179" t="str">
        <f t="shared" si="2"/>
        <v/>
      </c>
      <c r="H16" s="179" t="str">
        <f>IFERROR(SUM(G16*VLOOKUP($H$10,Data!$F:$G,2,FALSE)),"")</f>
        <v/>
      </c>
      <c r="I16" s="179" t="str">
        <f>IFERROR(SUM(H16*VLOOKUP($I$10,Data!$F:$G,2,FALSE)),"")</f>
        <v/>
      </c>
      <c r="J16" s="179" t="str">
        <f>IFERROR(SUM(I16*VLOOKUP($J$10,Data!$F:$G,2,FALSE)),"")</f>
        <v/>
      </c>
      <c r="K16" s="179" t="str">
        <f>IFERROR(SUM(J16*VLOOKUP($K$10,Data!$F:$G,2,FALSE)),"")</f>
        <v/>
      </c>
      <c r="L16" s="179" t="str">
        <f>IFERROR(SUM(K16*VLOOKUP($L$10,Data!$F:$G,2,FALSE)),"")</f>
        <v/>
      </c>
      <c r="M16" s="179" t="str">
        <f>IFERROR(SUM(L16*VLOOKUP($M$10,Data!$F:$G,2,FALSE)),"")</f>
        <v/>
      </c>
      <c r="N16" s="179" t="str">
        <f>IFERROR(SUM(M16*VLOOKUP($N$10,Data!$F:$G,2,FALSE)),"")</f>
        <v/>
      </c>
      <c r="O16" s="179" t="str">
        <f>IFERROR(SUM(N16*VLOOKUP($O$10,Data!$F:$G,2,FALSE)),"")</f>
        <v/>
      </c>
    </row>
    <row r="17" spans="2:15" ht="13" x14ac:dyDescent="0.25">
      <c r="B17" s="143"/>
      <c r="C17" s="142"/>
      <c r="D17" s="178" t="str">
        <f t="shared" si="3"/>
        <v/>
      </c>
      <c r="E17" s="179" t="str">
        <f>IFERROR(HLOOKUP(D17,$G$10:O17,COUNTA($B$10:B17),FALSE),"")</f>
        <v/>
      </c>
      <c r="F17" s="145"/>
      <c r="G17" s="179" t="str">
        <f t="shared" si="2"/>
        <v/>
      </c>
      <c r="H17" s="179" t="str">
        <f>IFERROR(SUM(G17*VLOOKUP($H$10,Data!$F:$G,2,FALSE)),"")</f>
        <v/>
      </c>
      <c r="I17" s="179" t="str">
        <f>IFERROR(SUM(H17*VLOOKUP($I$10,Data!$F:$G,2,FALSE)),"")</f>
        <v/>
      </c>
      <c r="J17" s="179" t="str">
        <f>IFERROR(SUM(I17*VLOOKUP($J$10,Data!$F:$G,2,FALSE)),"")</f>
        <v/>
      </c>
      <c r="K17" s="179" t="str">
        <f>IFERROR(SUM(J17*VLOOKUP($K$10,Data!$F:$G,2,FALSE)),"")</f>
        <v/>
      </c>
      <c r="L17" s="179" t="str">
        <f>IFERROR(SUM(K17*VLOOKUP($L$10,Data!$F:$G,2,FALSE)),"")</f>
        <v/>
      </c>
      <c r="M17" s="179" t="str">
        <f>IFERROR(SUM(L17*VLOOKUP($M$10,Data!$F:$G,2,FALSE)),"")</f>
        <v/>
      </c>
      <c r="N17" s="179" t="str">
        <f>IFERROR(SUM(M17*VLOOKUP($N$10,Data!$F:$G,2,FALSE)),"")</f>
        <v/>
      </c>
      <c r="O17" s="179" t="str">
        <f>IFERROR(SUM(N17*VLOOKUP($O$10,Data!$F:$G,2,FALSE)),"")</f>
        <v/>
      </c>
    </row>
    <row r="18" spans="2:15" ht="13" x14ac:dyDescent="0.25">
      <c r="B18" s="143"/>
      <c r="C18" s="142"/>
      <c r="D18" s="178" t="str">
        <f t="shared" si="3"/>
        <v/>
      </c>
      <c r="E18" s="179" t="str">
        <f>IFERROR(HLOOKUP(D18,$G$10:O18,COUNTA($B$10:B18),FALSE),"")</f>
        <v/>
      </c>
      <c r="F18" s="145"/>
      <c r="G18" s="179" t="str">
        <f t="shared" si="2"/>
        <v/>
      </c>
      <c r="H18" s="179" t="str">
        <f>IFERROR(SUM(G18*VLOOKUP($H$10,Data!$F:$G,2,FALSE)),"")</f>
        <v/>
      </c>
      <c r="I18" s="179" t="str">
        <f>IFERROR(SUM(H18*VLOOKUP($I$10,Data!$F:$G,2,FALSE)),"")</f>
        <v/>
      </c>
      <c r="J18" s="179" t="str">
        <f>IFERROR(SUM(I18*VLOOKUP($J$10,Data!$F:$G,2,FALSE)),"")</f>
        <v/>
      </c>
      <c r="K18" s="179" t="str">
        <f>IFERROR(SUM(J18*VLOOKUP($K$10,Data!$F:$G,2,FALSE)),"")</f>
        <v/>
      </c>
      <c r="L18" s="179" t="str">
        <f>IFERROR(SUM(K18*VLOOKUP($L$10,Data!$F:$G,2,FALSE)),"")</f>
        <v/>
      </c>
      <c r="M18" s="179" t="str">
        <f>IFERROR(SUM(L18*VLOOKUP($M$10,Data!$F:$G,2,FALSE)),"")</f>
        <v/>
      </c>
      <c r="N18" s="179" t="str">
        <f>IFERROR(SUM(M18*VLOOKUP($N$10,Data!$F:$G,2,FALSE)),"")</f>
        <v/>
      </c>
      <c r="O18" s="179" t="str">
        <f>IFERROR(SUM(N18*VLOOKUP($O$10,Data!$F:$G,2,FALSE)),"")</f>
        <v/>
      </c>
    </row>
    <row r="19" spans="2:15" ht="13" x14ac:dyDescent="0.25">
      <c r="B19" s="143"/>
      <c r="C19" s="142"/>
      <c r="D19" s="178" t="str">
        <f t="shared" si="3"/>
        <v/>
      </c>
      <c r="E19" s="179" t="str">
        <f>IFERROR(HLOOKUP(D19,$G$10:O19,COUNTA($B$10:B19),FALSE),"")</f>
        <v/>
      </c>
      <c r="F19" s="145"/>
      <c r="G19" s="179" t="str">
        <f t="shared" si="2"/>
        <v/>
      </c>
      <c r="H19" s="179" t="str">
        <f>IFERROR(SUM(G19*VLOOKUP($H$10,Data!$F:$G,2,FALSE)),"")</f>
        <v/>
      </c>
      <c r="I19" s="179" t="str">
        <f>IFERROR(SUM(H19*VLOOKUP($I$10,Data!$F:$G,2,FALSE)),"")</f>
        <v/>
      </c>
      <c r="J19" s="179" t="str">
        <f>IFERROR(SUM(I19*VLOOKUP($J$10,Data!$F:$G,2,FALSE)),"")</f>
        <v/>
      </c>
      <c r="K19" s="179" t="str">
        <f>IFERROR(SUM(J19*VLOOKUP($K$10,Data!$F:$G,2,FALSE)),"")</f>
        <v/>
      </c>
      <c r="L19" s="179" t="str">
        <f>IFERROR(SUM(K19*VLOOKUP($L$10,Data!$F:$G,2,FALSE)),"")</f>
        <v/>
      </c>
      <c r="M19" s="179" t="str">
        <f>IFERROR(SUM(L19*VLOOKUP($M$10,Data!$F:$G,2,FALSE)),"")</f>
        <v/>
      </c>
      <c r="N19" s="179" t="str">
        <f>IFERROR(SUM(M19*VLOOKUP($N$10,Data!$F:$G,2,FALSE)),"")</f>
        <v/>
      </c>
      <c r="O19" s="179" t="str">
        <f>IFERROR(SUM(N19*VLOOKUP($O$10,Data!$F:$G,2,FALSE)),"")</f>
        <v/>
      </c>
    </row>
    <row r="20" spans="2:15" ht="13" x14ac:dyDescent="0.25">
      <c r="B20" s="143"/>
      <c r="C20" s="142"/>
      <c r="D20" s="178" t="str">
        <f t="shared" si="3"/>
        <v/>
      </c>
      <c r="E20" s="179" t="str">
        <f>IFERROR(HLOOKUP(D20,$G$10:O20,COUNTA($B$10:B20),FALSE),"")</f>
        <v/>
      </c>
      <c r="F20" s="145"/>
      <c r="G20" s="179" t="str">
        <f t="shared" si="2"/>
        <v/>
      </c>
      <c r="H20" s="179" t="str">
        <f>IFERROR(SUM(G20*VLOOKUP($H$10,Data!$F:$G,2,FALSE)),"")</f>
        <v/>
      </c>
      <c r="I20" s="179" t="str">
        <f>IFERROR(SUM(H20*VLOOKUP($I$10,Data!$F:$G,2,FALSE)),"")</f>
        <v/>
      </c>
      <c r="J20" s="179" t="str">
        <f>IFERROR(SUM(I20*VLOOKUP($J$10,Data!$F:$G,2,FALSE)),"")</f>
        <v/>
      </c>
      <c r="K20" s="179" t="str">
        <f>IFERROR(SUM(J20*VLOOKUP($K$10,Data!$F:$G,2,FALSE)),"")</f>
        <v/>
      </c>
      <c r="L20" s="179" t="str">
        <f>IFERROR(SUM(K20*VLOOKUP($L$10,Data!$F:$G,2,FALSE)),"")</f>
        <v/>
      </c>
      <c r="M20" s="179" t="str">
        <f>IFERROR(SUM(L20*VLOOKUP($M$10,Data!$F:$G,2,FALSE)),"")</f>
        <v/>
      </c>
      <c r="N20" s="179" t="str">
        <f>IFERROR(SUM(M20*VLOOKUP($N$10,Data!$F:$G,2,FALSE)),"")</f>
        <v/>
      </c>
      <c r="O20" s="179" t="str">
        <f>IFERROR(SUM(N20*VLOOKUP($O$10,Data!$F:$G,2,FALSE)),"")</f>
        <v/>
      </c>
    </row>
    <row r="21" spans="2:15" ht="13" x14ac:dyDescent="0.25">
      <c r="B21" s="143"/>
      <c r="C21" s="142"/>
      <c r="D21" s="178" t="str">
        <f t="shared" si="3"/>
        <v/>
      </c>
      <c r="E21" s="179" t="str">
        <f>IFERROR(HLOOKUP(D21,$G$10:O21,COUNTA($B$10:B21),FALSE),"")</f>
        <v/>
      </c>
      <c r="F21" s="145"/>
      <c r="G21" s="179" t="str">
        <f t="shared" si="2"/>
        <v/>
      </c>
      <c r="H21" s="179" t="str">
        <f>IFERROR(SUM(G21*VLOOKUP($H$10,Data!$F:$G,2,FALSE)),"")</f>
        <v/>
      </c>
      <c r="I21" s="179" t="str">
        <f>IFERROR(SUM(H21*VLOOKUP($I$10,Data!$F:$G,2,FALSE)),"")</f>
        <v/>
      </c>
      <c r="J21" s="179" t="str">
        <f>IFERROR(SUM(I21*VLOOKUP($J$10,Data!$F:$G,2,FALSE)),"")</f>
        <v/>
      </c>
      <c r="K21" s="179" t="str">
        <f>IFERROR(SUM(J21*VLOOKUP($K$10,Data!$F:$G,2,FALSE)),"")</f>
        <v/>
      </c>
      <c r="L21" s="179" t="str">
        <f>IFERROR(SUM(K21*VLOOKUP($L$10,Data!$F:$G,2,FALSE)),"")</f>
        <v/>
      </c>
      <c r="M21" s="179" t="str">
        <f>IFERROR(SUM(L21*VLOOKUP($M$10,Data!$F:$G,2,FALSE)),"")</f>
        <v/>
      </c>
      <c r="N21" s="179" t="str">
        <f>IFERROR(SUM(M21*VLOOKUP($N$10,Data!$F:$G,2,FALSE)),"")</f>
        <v/>
      </c>
      <c r="O21" s="179" t="str">
        <f>IFERROR(SUM(N21*VLOOKUP($O$10,Data!$F:$G,2,FALSE)),"")</f>
        <v/>
      </c>
    </row>
    <row r="22" spans="2:15" ht="13" x14ac:dyDescent="0.25">
      <c r="B22" s="143"/>
      <c r="C22" s="142"/>
      <c r="D22" s="178" t="str">
        <f t="shared" si="3"/>
        <v/>
      </c>
      <c r="E22" s="179" t="str">
        <f>IFERROR(HLOOKUP(D22,$G$10:O22,COUNTA($B$10:B22),FALSE),"")</f>
        <v/>
      </c>
      <c r="F22" s="145"/>
      <c r="G22" s="179" t="str">
        <f t="shared" si="2"/>
        <v/>
      </c>
      <c r="H22" s="179" t="str">
        <f>IFERROR(SUM(G22*VLOOKUP($H$10,Data!$F:$G,2,FALSE)),"")</f>
        <v/>
      </c>
      <c r="I22" s="179" t="str">
        <f>IFERROR(SUM(H22*VLOOKUP($I$10,Data!$F:$G,2,FALSE)),"")</f>
        <v/>
      </c>
      <c r="J22" s="179" t="str">
        <f>IFERROR(SUM(I22*VLOOKUP($J$10,Data!$F:$G,2,FALSE)),"")</f>
        <v/>
      </c>
      <c r="K22" s="179" t="str">
        <f>IFERROR(SUM(J22*VLOOKUP($K$10,Data!$F:$G,2,FALSE)),"")</f>
        <v/>
      </c>
      <c r="L22" s="179" t="str">
        <f>IFERROR(SUM(K22*VLOOKUP($L$10,Data!$F:$G,2,FALSE)),"")</f>
        <v/>
      </c>
      <c r="M22" s="179" t="str">
        <f>IFERROR(SUM(L22*VLOOKUP($M$10,Data!$F:$G,2,FALSE)),"")</f>
        <v/>
      </c>
      <c r="N22" s="179" t="str">
        <f>IFERROR(SUM(M22*VLOOKUP($N$10,Data!$F:$G,2,FALSE)),"")</f>
        <v/>
      </c>
      <c r="O22" s="179" t="str">
        <f>IFERROR(SUM(N22*VLOOKUP($O$10,Data!$F:$G,2,FALSE)),"")</f>
        <v/>
      </c>
    </row>
    <row r="23" spans="2:15" ht="13" x14ac:dyDescent="0.25">
      <c r="B23" s="143"/>
      <c r="C23" s="142"/>
      <c r="D23" s="178" t="str">
        <f t="shared" si="3"/>
        <v/>
      </c>
      <c r="E23" s="179" t="str">
        <f>IFERROR(HLOOKUP(D23,$G$10:O23,COUNTA($B$10:B23),FALSE),"")</f>
        <v/>
      </c>
      <c r="F23" s="145"/>
      <c r="G23" s="179" t="str">
        <f t="shared" si="2"/>
        <v/>
      </c>
      <c r="H23" s="179" t="str">
        <f>IFERROR(SUM(G23*VLOOKUP($H$10,Data!$F:$G,2,FALSE)),"")</f>
        <v/>
      </c>
      <c r="I23" s="179" t="str">
        <f>IFERROR(SUM(H23*VLOOKUP($I$10,Data!$F:$G,2,FALSE)),"")</f>
        <v/>
      </c>
      <c r="J23" s="179" t="str">
        <f>IFERROR(SUM(I23*VLOOKUP($J$10,Data!$F:$G,2,FALSE)),"")</f>
        <v/>
      </c>
      <c r="K23" s="179" t="str">
        <f>IFERROR(SUM(J23*VLOOKUP($K$10,Data!$F:$G,2,FALSE)),"")</f>
        <v/>
      </c>
      <c r="L23" s="179" t="str">
        <f>IFERROR(SUM(K23*VLOOKUP($L$10,Data!$F:$G,2,FALSE)),"")</f>
        <v/>
      </c>
      <c r="M23" s="179" t="str">
        <f>IFERROR(SUM(L23*VLOOKUP($M$10,Data!$F:$G,2,FALSE)),"")</f>
        <v/>
      </c>
      <c r="N23" s="179" t="str">
        <f>IFERROR(SUM(M23*VLOOKUP($N$10,Data!$F:$G,2,FALSE)),"")</f>
        <v/>
      </c>
      <c r="O23" s="179" t="str">
        <f>IFERROR(SUM(N23*VLOOKUP($O$10,Data!$F:$G,2,FALSE)),"")</f>
        <v/>
      </c>
    </row>
    <row r="24" spans="2:15" ht="13" x14ac:dyDescent="0.25">
      <c r="B24" s="143"/>
      <c r="C24" s="142"/>
      <c r="D24" s="178" t="str">
        <f t="shared" si="3"/>
        <v/>
      </c>
      <c r="E24" s="179" t="str">
        <f>IFERROR(HLOOKUP(D24,$G$10:O24,COUNTA($B$10:B24),FALSE),"")</f>
        <v/>
      </c>
      <c r="F24" s="145"/>
      <c r="G24" s="179" t="str">
        <f t="shared" si="2"/>
        <v/>
      </c>
      <c r="H24" s="179" t="str">
        <f>IFERROR(SUM(G24*VLOOKUP($H$10,Data!$F:$G,2,FALSE)),"")</f>
        <v/>
      </c>
      <c r="I24" s="179" t="str">
        <f>IFERROR(SUM(H24*VLOOKUP($I$10,Data!$F:$G,2,FALSE)),"")</f>
        <v/>
      </c>
      <c r="J24" s="179" t="str">
        <f>IFERROR(SUM(I24*VLOOKUP($J$10,Data!$F:$G,2,FALSE)),"")</f>
        <v/>
      </c>
      <c r="K24" s="179" t="str">
        <f>IFERROR(SUM(J24*VLOOKUP($K$10,Data!$F:$G,2,FALSE)),"")</f>
        <v/>
      </c>
      <c r="L24" s="179" t="str">
        <f>IFERROR(SUM(K24*VLOOKUP($L$10,Data!$F:$G,2,FALSE)),"")</f>
        <v/>
      </c>
      <c r="M24" s="179" t="str">
        <f>IFERROR(SUM(L24*VLOOKUP($M$10,Data!$F:$G,2,FALSE)),"")</f>
        <v/>
      </c>
      <c r="N24" s="179" t="str">
        <f>IFERROR(SUM(M24*VLOOKUP($N$10,Data!$F:$G,2,FALSE)),"")</f>
        <v/>
      </c>
      <c r="O24" s="179" t="str">
        <f>IFERROR(SUM(N24*VLOOKUP($O$10,Data!$F:$G,2,FALSE)),"")</f>
        <v/>
      </c>
    </row>
    <row r="25" spans="2:15" ht="13" x14ac:dyDescent="0.25">
      <c r="B25" s="143"/>
      <c r="C25" s="142"/>
      <c r="D25" s="178" t="str">
        <f t="shared" si="3"/>
        <v/>
      </c>
      <c r="E25" s="179" t="str">
        <f>IFERROR(HLOOKUP(D25,$G$10:O25,COUNTA($B$10:B25),FALSE),"")</f>
        <v/>
      </c>
      <c r="F25" s="145"/>
      <c r="G25" s="179" t="str">
        <f t="shared" si="2"/>
        <v/>
      </c>
      <c r="H25" s="179" t="str">
        <f>IFERROR(SUM(G25*VLOOKUP($H$10,Data!$F:$G,2,FALSE)),"")</f>
        <v/>
      </c>
      <c r="I25" s="179" t="str">
        <f>IFERROR(SUM(H25*VLOOKUP($I$10,Data!$F:$G,2,FALSE)),"")</f>
        <v/>
      </c>
      <c r="J25" s="179" t="str">
        <f>IFERROR(SUM(I25*VLOOKUP($J$10,Data!$F:$G,2,FALSE)),"")</f>
        <v/>
      </c>
      <c r="K25" s="179" t="str">
        <f>IFERROR(SUM(J25*VLOOKUP($K$10,Data!$F:$G,2,FALSE)),"")</f>
        <v/>
      </c>
      <c r="L25" s="179" t="str">
        <f>IFERROR(SUM(K25*VLOOKUP($L$10,Data!$F:$G,2,FALSE)),"")</f>
        <v/>
      </c>
      <c r="M25" s="179" t="str">
        <f>IFERROR(SUM(L25*VLOOKUP($M$10,Data!$F:$G,2,FALSE)),"")</f>
        <v/>
      </c>
      <c r="N25" s="179" t="str">
        <f>IFERROR(SUM(M25*VLOOKUP($N$10,Data!$F:$G,2,FALSE)),"")</f>
        <v/>
      </c>
      <c r="O25" s="179" t="str">
        <f>IFERROR(SUM(N25*VLOOKUP($O$10,Data!$F:$G,2,FALSE)),"")</f>
        <v/>
      </c>
    </row>
    <row r="26" spans="2:15" ht="13" x14ac:dyDescent="0.25">
      <c r="B26" s="143"/>
      <c r="C26" s="142"/>
      <c r="D26" s="178" t="str">
        <f t="shared" si="3"/>
        <v/>
      </c>
      <c r="E26" s="179" t="str">
        <f>IFERROR(HLOOKUP(D26,$G$10:O26,COUNTA($B$10:B26),FALSE),"")</f>
        <v/>
      </c>
      <c r="F26" s="145"/>
      <c r="G26" s="179" t="str">
        <f t="shared" ref="G26:G53" si="4">IF(C26="","",C26)</f>
        <v/>
      </c>
      <c r="H26" s="179" t="str">
        <f>IFERROR(SUM(G26*VLOOKUP($H$10,Data!$F:$G,2,FALSE)),"")</f>
        <v/>
      </c>
      <c r="I26" s="179" t="str">
        <f>IFERROR(SUM(H26*VLOOKUP($I$10,Data!$F:$G,2,FALSE)),"")</f>
        <v/>
      </c>
      <c r="J26" s="179" t="str">
        <f>IFERROR(SUM(I26*VLOOKUP($J$10,Data!$F:$G,2,FALSE)),"")</f>
        <v/>
      </c>
      <c r="K26" s="179" t="str">
        <f>IFERROR(SUM(J26*VLOOKUP($K$10,Data!$F:$G,2,FALSE)),"")</f>
        <v/>
      </c>
      <c r="L26" s="179" t="str">
        <f>IFERROR(SUM(K26*VLOOKUP($L$10,Data!$F:$G,2,FALSE)),"")</f>
        <v/>
      </c>
      <c r="M26" s="179" t="str">
        <f>IFERROR(SUM(L26*VLOOKUP($M$10,Data!$F:$G,2,FALSE)),"")</f>
        <v/>
      </c>
      <c r="N26" s="179" t="str">
        <f>IFERROR(SUM(M26*VLOOKUP($N$10,Data!$F:$G,2,FALSE)),"")</f>
        <v/>
      </c>
      <c r="O26" s="179" t="str">
        <f>IFERROR(SUM(N26*VLOOKUP($O$10,Data!$F:$G,2,FALSE)),"")</f>
        <v/>
      </c>
    </row>
    <row r="27" spans="2:15" ht="13" x14ac:dyDescent="0.25">
      <c r="B27" s="143"/>
      <c r="C27" s="142"/>
      <c r="D27" s="178" t="str">
        <f t="shared" si="3"/>
        <v/>
      </c>
      <c r="E27" s="179" t="str">
        <f>IFERROR(HLOOKUP(D27,$G$10:O27,COUNTA($B$10:B27),FALSE),"")</f>
        <v/>
      </c>
      <c r="F27" s="145"/>
      <c r="G27" s="179" t="str">
        <f t="shared" si="4"/>
        <v/>
      </c>
      <c r="H27" s="179" t="str">
        <f>IFERROR(SUM(G27*VLOOKUP($H$10,Data!$F:$G,2,FALSE)),"")</f>
        <v/>
      </c>
      <c r="I27" s="179" t="str">
        <f>IFERROR(SUM(H27*VLOOKUP($I$10,Data!$F:$G,2,FALSE)),"")</f>
        <v/>
      </c>
      <c r="J27" s="179" t="str">
        <f>IFERROR(SUM(I27*VLOOKUP($J$10,Data!$F:$G,2,FALSE)),"")</f>
        <v/>
      </c>
      <c r="K27" s="179" t="str">
        <f>IFERROR(SUM(J27*VLOOKUP($K$10,Data!$F:$G,2,FALSE)),"")</f>
        <v/>
      </c>
      <c r="L27" s="179" t="str">
        <f>IFERROR(SUM(K27*VLOOKUP($L$10,Data!$F:$G,2,FALSE)),"")</f>
        <v/>
      </c>
      <c r="M27" s="179" t="str">
        <f>IFERROR(SUM(L27*VLOOKUP($M$10,Data!$F:$G,2,FALSE)),"")</f>
        <v/>
      </c>
      <c r="N27" s="179" t="str">
        <f>IFERROR(SUM(M27*VLOOKUP($N$10,Data!$F:$G,2,FALSE)),"")</f>
        <v/>
      </c>
      <c r="O27" s="179" t="str">
        <f>IFERROR(SUM(N27*VLOOKUP($O$10,Data!$F:$G,2,FALSE)),"")</f>
        <v/>
      </c>
    </row>
    <row r="28" spans="2:15" ht="13" x14ac:dyDescent="0.25">
      <c r="B28" s="143"/>
      <c r="C28" s="142"/>
      <c r="D28" s="178" t="str">
        <f t="shared" si="3"/>
        <v/>
      </c>
      <c r="E28" s="179" t="str">
        <f>IFERROR(HLOOKUP(D28,$G$10:O28,COUNTA($B$10:B28),FALSE),"")</f>
        <v/>
      </c>
      <c r="F28" s="145"/>
      <c r="G28" s="179" t="str">
        <f t="shared" si="4"/>
        <v/>
      </c>
      <c r="H28" s="179" t="str">
        <f>IFERROR(SUM(G28*VLOOKUP($H$10,Data!$F:$G,2,FALSE)),"")</f>
        <v/>
      </c>
      <c r="I28" s="179" t="str">
        <f>IFERROR(SUM(H28*VLOOKUP($I$10,Data!$F:$G,2,FALSE)),"")</f>
        <v/>
      </c>
      <c r="J28" s="179" t="str">
        <f>IFERROR(SUM(I28*VLOOKUP($J$10,Data!$F:$G,2,FALSE)),"")</f>
        <v/>
      </c>
      <c r="K28" s="179" t="str">
        <f>IFERROR(SUM(J28*VLOOKUP($K$10,Data!$F:$G,2,FALSE)),"")</f>
        <v/>
      </c>
      <c r="L28" s="179" t="str">
        <f>IFERROR(SUM(K28*VLOOKUP($L$10,Data!$F:$G,2,FALSE)),"")</f>
        <v/>
      </c>
      <c r="M28" s="179" t="str">
        <f>IFERROR(SUM(L28*VLOOKUP($M$10,Data!$F:$G,2,FALSE)),"")</f>
        <v/>
      </c>
      <c r="N28" s="179" t="str">
        <f>IFERROR(SUM(M28*VLOOKUP($N$10,Data!$F:$G,2,FALSE)),"")</f>
        <v/>
      </c>
      <c r="O28" s="179" t="str">
        <f>IFERROR(SUM(N28*VLOOKUP($O$10,Data!$F:$G,2,FALSE)),"")</f>
        <v/>
      </c>
    </row>
    <row r="29" spans="2:15" ht="13" x14ac:dyDescent="0.25">
      <c r="B29" s="143"/>
      <c r="C29" s="142"/>
      <c r="D29" s="178" t="str">
        <f t="shared" si="3"/>
        <v/>
      </c>
      <c r="E29" s="179" t="str">
        <f>IFERROR(HLOOKUP(D29,$G$10:O29,COUNTA($B$10:B29),FALSE),"")</f>
        <v/>
      </c>
      <c r="F29" s="145"/>
      <c r="G29" s="179" t="str">
        <f t="shared" si="4"/>
        <v/>
      </c>
      <c r="H29" s="179" t="str">
        <f>IFERROR(SUM(G29*VLOOKUP($H$10,Data!$F:$G,2,FALSE)),"")</f>
        <v/>
      </c>
      <c r="I29" s="179" t="str">
        <f>IFERROR(SUM(H29*VLOOKUP($I$10,Data!$F:$G,2,FALSE)),"")</f>
        <v/>
      </c>
      <c r="J29" s="179" t="str">
        <f>IFERROR(SUM(I29*VLOOKUP($J$10,Data!$F:$G,2,FALSE)),"")</f>
        <v/>
      </c>
      <c r="K29" s="179" t="str">
        <f>IFERROR(SUM(J29*VLOOKUP($K$10,Data!$F:$G,2,FALSE)),"")</f>
        <v/>
      </c>
      <c r="L29" s="179" t="str">
        <f>IFERROR(SUM(K29*VLOOKUP($L$10,Data!$F:$G,2,FALSE)),"")</f>
        <v/>
      </c>
      <c r="M29" s="179" t="str">
        <f>IFERROR(SUM(L29*VLOOKUP($M$10,Data!$F:$G,2,FALSE)),"")</f>
        <v/>
      </c>
      <c r="N29" s="179" t="str">
        <f>IFERROR(SUM(M29*VLOOKUP($N$10,Data!$F:$G,2,FALSE)),"")</f>
        <v/>
      </c>
      <c r="O29" s="179" t="str">
        <f>IFERROR(SUM(N29*VLOOKUP($O$10,Data!$F:$G,2,FALSE)),"")</f>
        <v/>
      </c>
    </row>
    <row r="30" spans="2:15" ht="13" x14ac:dyDescent="0.25">
      <c r="B30" s="143"/>
      <c r="C30" s="142"/>
      <c r="D30" s="178" t="str">
        <f t="shared" si="3"/>
        <v/>
      </c>
      <c r="E30" s="179" t="str">
        <f>IFERROR(HLOOKUP(D30,$G$10:O30,COUNTA($B$10:B30),FALSE),"")</f>
        <v/>
      </c>
      <c r="F30" s="145"/>
      <c r="G30" s="179" t="str">
        <f t="shared" si="4"/>
        <v/>
      </c>
      <c r="H30" s="179" t="str">
        <f>IFERROR(SUM(G30*VLOOKUP($H$10,Data!$F:$G,2,FALSE)),"")</f>
        <v/>
      </c>
      <c r="I30" s="179" t="str">
        <f>IFERROR(SUM(H30*VLOOKUP($I$10,Data!$F:$G,2,FALSE)),"")</f>
        <v/>
      </c>
      <c r="J30" s="179" t="str">
        <f>IFERROR(SUM(I30*VLOOKUP($J$10,Data!$F:$G,2,FALSE)),"")</f>
        <v/>
      </c>
      <c r="K30" s="179" t="str">
        <f>IFERROR(SUM(J30*VLOOKUP($K$10,Data!$F:$G,2,FALSE)),"")</f>
        <v/>
      </c>
      <c r="L30" s="179" t="str">
        <f>IFERROR(SUM(K30*VLOOKUP($L$10,Data!$F:$G,2,FALSE)),"")</f>
        <v/>
      </c>
      <c r="M30" s="179" t="str">
        <f>IFERROR(SUM(L30*VLOOKUP($M$10,Data!$F:$G,2,FALSE)),"")</f>
        <v/>
      </c>
      <c r="N30" s="179" t="str">
        <f>IFERROR(SUM(M30*VLOOKUP($N$10,Data!$F:$G,2,FALSE)),"")</f>
        <v/>
      </c>
      <c r="O30" s="179" t="str">
        <f>IFERROR(SUM(N30*VLOOKUP($O$10,Data!$F:$G,2,FALSE)),"")</f>
        <v/>
      </c>
    </row>
    <row r="31" spans="2:15" ht="13" x14ac:dyDescent="0.25">
      <c r="B31" s="143"/>
      <c r="C31" s="142"/>
      <c r="D31" s="178" t="str">
        <f t="shared" si="3"/>
        <v/>
      </c>
      <c r="E31" s="179" t="str">
        <f>IFERROR(HLOOKUP(D31,$G$10:O31,COUNTA($B$10:B31),FALSE),"")</f>
        <v/>
      </c>
      <c r="F31" s="145"/>
      <c r="G31" s="179" t="str">
        <f t="shared" si="4"/>
        <v/>
      </c>
      <c r="H31" s="179" t="str">
        <f>IFERROR(SUM(G31*VLOOKUP($H$10,Data!$F:$G,2,FALSE)),"")</f>
        <v/>
      </c>
      <c r="I31" s="179" t="str">
        <f>IFERROR(SUM(H31*VLOOKUP($I$10,Data!$F:$G,2,FALSE)),"")</f>
        <v/>
      </c>
      <c r="J31" s="179" t="str">
        <f>IFERROR(SUM(I31*VLOOKUP($J$10,Data!$F:$G,2,FALSE)),"")</f>
        <v/>
      </c>
      <c r="K31" s="179" t="str">
        <f>IFERROR(SUM(J31*VLOOKUP($K$10,Data!$F:$G,2,FALSE)),"")</f>
        <v/>
      </c>
      <c r="L31" s="179" t="str">
        <f>IFERROR(SUM(K31*VLOOKUP($L$10,Data!$F:$G,2,FALSE)),"")</f>
        <v/>
      </c>
      <c r="M31" s="179" t="str">
        <f>IFERROR(SUM(L31*VLOOKUP($M$10,Data!$F:$G,2,FALSE)),"")</f>
        <v/>
      </c>
      <c r="N31" s="179" t="str">
        <f>IFERROR(SUM(M31*VLOOKUP($N$10,Data!$F:$G,2,FALSE)),"")</f>
        <v/>
      </c>
      <c r="O31" s="179" t="str">
        <f>IFERROR(SUM(N31*VLOOKUP($O$10,Data!$F:$G,2,FALSE)),"")</f>
        <v/>
      </c>
    </row>
    <row r="32" spans="2:15" ht="13" x14ac:dyDescent="0.25">
      <c r="B32" s="143"/>
      <c r="C32" s="142"/>
      <c r="D32" s="178" t="str">
        <f t="shared" si="3"/>
        <v/>
      </c>
      <c r="E32" s="179" t="str">
        <f>IFERROR(HLOOKUP(D32,$G$10:O32,COUNTA($B$10:B32),FALSE),"")</f>
        <v/>
      </c>
      <c r="F32" s="145"/>
      <c r="G32" s="179" t="str">
        <f t="shared" si="4"/>
        <v/>
      </c>
      <c r="H32" s="179" t="str">
        <f>IFERROR(SUM(G32*VLOOKUP($H$10,Data!$F:$G,2,FALSE)),"")</f>
        <v/>
      </c>
      <c r="I32" s="179" t="str">
        <f>IFERROR(SUM(H32*VLOOKUP($I$10,Data!$F:$G,2,FALSE)),"")</f>
        <v/>
      </c>
      <c r="J32" s="179" t="str">
        <f>IFERROR(SUM(I32*VLOOKUP($J$10,Data!$F:$G,2,FALSE)),"")</f>
        <v/>
      </c>
      <c r="K32" s="179" t="str">
        <f>IFERROR(SUM(J32*VLOOKUP($K$10,Data!$F:$G,2,FALSE)),"")</f>
        <v/>
      </c>
      <c r="L32" s="179" t="str">
        <f>IFERROR(SUM(K32*VLOOKUP($L$10,Data!$F:$G,2,FALSE)),"")</f>
        <v/>
      </c>
      <c r="M32" s="179" t="str">
        <f>IFERROR(SUM(L32*VLOOKUP($M$10,Data!$F:$G,2,FALSE)),"")</f>
        <v/>
      </c>
      <c r="N32" s="179" t="str">
        <f>IFERROR(SUM(M32*VLOOKUP($N$10,Data!$F:$G,2,FALSE)),"")</f>
        <v/>
      </c>
      <c r="O32" s="179" t="str">
        <f>IFERROR(SUM(N32*VLOOKUP($O$10,Data!$F:$G,2,FALSE)),"")</f>
        <v/>
      </c>
    </row>
    <row r="33" spans="2:15" ht="13" x14ac:dyDescent="0.25">
      <c r="B33" s="143"/>
      <c r="C33" s="142"/>
      <c r="D33" s="178" t="str">
        <f t="shared" si="3"/>
        <v/>
      </c>
      <c r="E33" s="179" t="str">
        <f>IFERROR(HLOOKUP(D33,$G$10:O33,COUNTA($B$10:B33),FALSE),"")</f>
        <v/>
      </c>
      <c r="F33" s="145"/>
      <c r="G33" s="179" t="str">
        <f t="shared" si="4"/>
        <v/>
      </c>
      <c r="H33" s="179" t="str">
        <f>IFERROR(SUM(G33*VLOOKUP($H$10,Data!$F:$G,2,FALSE)),"")</f>
        <v/>
      </c>
      <c r="I33" s="179" t="str">
        <f>IFERROR(SUM(H33*VLOOKUP($I$10,Data!$F:$G,2,FALSE)),"")</f>
        <v/>
      </c>
      <c r="J33" s="179" t="str">
        <f>IFERROR(SUM(I33*VLOOKUP($J$10,Data!$F:$G,2,FALSE)),"")</f>
        <v/>
      </c>
      <c r="K33" s="179" t="str">
        <f>IFERROR(SUM(J33*VLOOKUP($K$10,Data!$F:$G,2,FALSE)),"")</f>
        <v/>
      </c>
      <c r="L33" s="179" t="str">
        <f>IFERROR(SUM(K33*VLOOKUP($L$10,Data!$F:$G,2,FALSE)),"")</f>
        <v/>
      </c>
      <c r="M33" s="179" t="str">
        <f>IFERROR(SUM(L33*VLOOKUP($M$10,Data!$F:$G,2,FALSE)),"")</f>
        <v/>
      </c>
      <c r="N33" s="179" t="str">
        <f>IFERROR(SUM(M33*VLOOKUP($N$10,Data!$F:$G,2,FALSE)),"")</f>
        <v/>
      </c>
      <c r="O33" s="179" t="str">
        <f>IFERROR(SUM(N33*VLOOKUP($O$10,Data!$F:$G,2,FALSE)),"")</f>
        <v/>
      </c>
    </row>
    <row r="34" spans="2:15" ht="13" x14ac:dyDescent="0.25">
      <c r="B34" s="143"/>
      <c r="C34" s="142"/>
      <c r="D34" s="178" t="str">
        <f t="shared" si="3"/>
        <v/>
      </c>
      <c r="E34" s="179" t="str">
        <f>IFERROR(HLOOKUP(D34,$G$10:O34,COUNTA($B$10:B34),FALSE),"")</f>
        <v/>
      </c>
      <c r="F34" s="145"/>
      <c r="G34" s="179" t="str">
        <f t="shared" si="4"/>
        <v/>
      </c>
      <c r="H34" s="179" t="str">
        <f>IFERROR(SUM(G34*VLOOKUP($H$10,Data!$F:$G,2,FALSE)),"")</f>
        <v/>
      </c>
      <c r="I34" s="179" t="str">
        <f>IFERROR(SUM(H34*VLOOKUP($I$10,Data!$F:$G,2,FALSE)),"")</f>
        <v/>
      </c>
      <c r="J34" s="179" t="str">
        <f>IFERROR(SUM(I34*VLOOKUP($J$10,Data!$F:$G,2,FALSE)),"")</f>
        <v/>
      </c>
      <c r="K34" s="179" t="str">
        <f>IFERROR(SUM(J34*VLOOKUP($K$10,Data!$F:$G,2,FALSE)),"")</f>
        <v/>
      </c>
      <c r="L34" s="179" t="str">
        <f>IFERROR(SUM(K34*VLOOKUP($L$10,Data!$F:$G,2,FALSE)),"")</f>
        <v/>
      </c>
      <c r="M34" s="179" t="str">
        <f>IFERROR(SUM(L34*VLOOKUP($M$10,Data!$F:$G,2,FALSE)),"")</f>
        <v/>
      </c>
      <c r="N34" s="179" t="str">
        <f>IFERROR(SUM(M34*VLOOKUP($N$10,Data!$F:$G,2,FALSE)),"")</f>
        <v/>
      </c>
      <c r="O34" s="179" t="str">
        <f>IFERROR(SUM(N34*VLOOKUP($O$10,Data!$F:$G,2,FALSE)),"")</f>
        <v/>
      </c>
    </row>
    <row r="35" spans="2:15" ht="13" x14ac:dyDescent="0.25">
      <c r="B35" s="143"/>
      <c r="C35" s="142"/>
      <c r="D35" s="178" t="str">
        <f t="shared" si="3"/>
        <v/>
      </c>
      <c r="E35" s="179" t="str">
        <f>IFERROR(HLOOKUP(D35,$G$10:O35,COUNTA($B$10:B35),FALSE),"")</f>
        <v/>
      </c>
      <c r="F35" s="145"/>
      <c r="G35" s="179" t="str">
        <f t="shared" si="4"/>
        <v/>
      </c>
      <c r="H35" s="179" t="str">
        <f>IFERROR(SUM(G35*VLOOKUP($H$10,Data!$F:$G,2,FALSE)),"")</f>
        <v/>
      </c>
      <c r="I35" s="179" t="str">
        <f>IFERROR(SUM(H35*VLOOKUP($I$10,Data!$F:$G,2,FALSE)),"")</f>
        <v/>
      </c>
      <c r="J35" s="179" t="str">
        <f>IFERROR(SUM(I35*VLOOKUP($J$10,Data!$F:$G,2,FALSE)),"")</f>
        <v/>
      </c>
      <c r="K35" s="179" t="str">
        <f>IFERROR(SUM(J35*VLOOKUP($K$10,Data!$F:$G,2,FALSE)),"")</f>
        <v/>
      </c>
      <c r="L35" s="179" t="str">
        <f>IFERROR(SUM(K35*VLOOKUP($L$10,Data!$F:$G,2,FALSE)),"")</f>
        <v/>
      </c>
      <c r="M35" s="179" t="str">
        <f>IFERROR(SUM(L35*VLOOKUP($M$10,Data!$F:$G,2,FALSE)),"")</f>
        <v/>
      </c>
      <c r="N35" s="179" t="str">
        <f>IFERROR(SUM(M35*VLOOKUP($N$10,Data!$F:$G,2,FALSE)),"")</f>
        <v/>
      </c>
      <c r="O35" s="179" t="str">
        <f>IFERROR(SUM(N35*VLOOKUP($O$10,Data!$F:$G,2,FALSE)),"")</f>
        <v/>
      </c>
    </row>
    <row r="36" spans="2:15" ht="13" x14ac:dyDescent="0.25">
      <c r="B36" s="143"/>
      <c r="C36" s="142"/>
      <c r="D36" s="178" t="str">
        <f t="shared" si="3"/>
        <v/>
      </c>
      <c r="E36" s="179" t="str">
        <f>IFERROR(HLOOKUP(D36,$G$10:O36,COUNTA($B$10:B36),FALSE),"")</f>
        <v/>
      </c>
      <c r="F36" s="145"/>
      <c r="G36" s="179" t="str">
        <f t="shared" si="4"/>
        <v/>
      </c>
      <c r="H36" s="179" t="str">
        <f>IFERROR(SUM(G36*VLOOKUP($H$10,Data!$F:$G,2,FALSE)),"")</f>
        <v/>
      </c>
      <c r="I36" s="179" t="str">
        <f>IFERROR(SUM(H36*VLOOKUP($I$10,Data!$F:$G,2,FALSE)),"")</f>
        <v/>
      </c>
      <c r="J36" s="179" t="str">
        <f>IFERROR(SUM(I36*VLOOKUP($J$10,Data!$F:$G,2,FALSE)),"")</f>
        <v/>
      </c>
      <c r="K36" s="179" t="str">
        <f>IFERROR(SUM(J36*VLOOKUP($K$10,Data!$F:$G,2,FALSE)),"")</f>
        <v/>
      </c>
      <c r="L36" s="179" t="str">
        <f>IFERROR(SUM(K36*VLOOKUP($L$10,Data!$F:$G,2,FALSE)),"")</f>
        <v/>
      </c>
      <c r="M36" s="179" t="str">
        <f>IFERROR(SUM(L36*VLOOKUP($M$10,Data!$F:$G,2,FALSE)),"")</f>
        <v/>
      </c>
      <c r="N36" s="179" t="str">
        <f>IFERROR(SUM(M36*VLOOKUP($N$10,Data!$F:$G,2,FALSE)),"")</f>
        <v/>
      </c>
      <c r="O36" s="179" t="str">
        <f>IFERROR(SUM(N36*VLOOKUP($O$10,Data!$F:$G,2,FALSE)),"")</f>
        <v/>
      </c>
    </row>
    <row r="37" spans="2:15" ht="13" x14ac:dyDescent="0.25">
      <c r="B37" s="143"/>
      <c r="C37" s="142"/>
      <c r="D37" s="178" t="str">
        <f t="shared" si="3"/>
        <v/>
      </c>
      <c r="E37" s="179" t="str">
        <f>IFERROR(HLOOKUP(D37,$G$10:O37,COUNTA($B$10:B37),FALSE),"")</f>
        <v/>
      </c>
      <c r="F37" s="145"/>
      <c r="G37" s="179" t="str">
        <f t="shared" si="4"/>
        <v/>
      </c>
      <c r="H37" s="179" t="str">
        <f>IFERROR(SUM(G37*VLOOKUP($H$10,Data!$F:$G,2,FALSE)),"")</f>
        <v/>
      </c>
      <c r="I37" s="179" t="str">
        <f>IFERROR(SUM(H37*VLOOKUP($I$10,Data!$F:$G,2,FALSE)),"")</f>
        <v/>
      </c>
      <c r="J37" s="179" t="str">
        <f>IFERROR(SUM(I37*VLOOKUP($J$10,Data!$F:$G,2,FALSE)),"")</f>
        <v/>
      </c>
      <c r="K37" s="179" t="str">
        <f>IFERROR(SUM(J37*VLOOKUP($K$10,Data!$F:$G,2,FALSE)),"")</f>
        <v/>
      </c>
      <c r="L37" s="179" t="str">
        <f>IFERROR(SUM(K37*VLOOKUP($L$10,Data!$F:$G,2,FALSE)),"")</f>
        <v/>
      </c>
      <c r="M37" s="179" t="str">
        <f>IFERROR(SUM(L37*VLOOKUP($M$10,Data!$F:$G,2,FALSE)),"")</f>
        <v/>
      </c>
      <c r="N37" s="179" t="str">
        <f>IFERROR(SUM(M37*VLOOKUP($N$10,Data!$F:$G,2,FALSE)),"")</f>
        <v/>
      </c>
      <c r="O37" s="179" t="str">
        <f>IFERROR(SUM(N37*VLOOKUP($O$10,Data!$F:$G,2,FALSE)),"")</f>
        <v/>
      </c>
    </row>
    <row r="38" spans="2:15" ht="13" x14ac:dyDescent="0.25">
      <c r="B38" s="143"/>
      <c r="C38" s="142"/>
      <c r="D38" s="178" t="str">
        <f t="shared" si="3"/>
        <v/>
      </c>
      <c r="E38" s="179" t="str">
        <f>IFERROR(HLOOKUP(D38,$G$10:O38,COUNTA($B$10:B38),FALSE),"")</f>
        <v/>
      </c>
      <c r="F38" s="145"/>
      <c r="G38" s="179" t="str">
        <f t="shared" si="4"/>
        <v/>
      </c>
      <c r="H38" s="179" t="str">
        <f>IFERROR(SUM(G38*VLOOKUP($H$10,Data!$F:$G,2,FALSE)),"")</f>
        <v/>
      </c>
      <c r="I38" s="179" t="str">
        <f>IFERROR(SUM(H38*VLOOKUP($I$10,Data!$F:$G,2,FALSE)),"")</f>
        <v/>
      </c>
      <c r="J38" s="179" t="str">
        <f>IFERROR(SUM(I38*VLOOKUP($J$10,Data!$F:$G,2,FALSE)),"")</f>
        <v/>
      </c>
      <c r="K38" s="179" t="str">
        <f>IFERROR(SUM(J38*VLOOKUP($K$10,Data!$F:$G,2,FALSE)),"")</f>
        <v/>
      </c>
      <c r="L38" s="179" t="str">
        <f>IFERROR(SUM(K38*VLOOKUP($L$10,Data!$F:$G,2,FALSE)),"")</f>
        <v/>
      </c>
      <c r="M38" s="179" t="str">
        <f>IFERROR(SUM(L38*VLOOKUP($M$10,Data!$F:$G,2,FALSE)),"")</f>
        <v/>
      </c>
      <c r="N38" s="179" t="str">
        <f>IFERROR(SUM(M38*VLOOKUP($N$10,Data!$F:$G,2,FALSE)),"")</f>
        <v/>
      </c>
      <c r="O38" s="179" t="str">
        <f>IFERROR(SUM(N38*VLOOKUP($O$10,Data!$F:$G,2,FALSE)),"")</f>
        <v/>
      </c>
    </row>
    <row r="39" spans="2:15" ht="13" x14ac:dyDescent="0.25">
      <c r="B39" s="143"/>
      <c r="C39" s="142"/>
      <c r="D39" s="178" t="str">
        <f t="shared" si="3"/>
        <v/>
      </c>
      <c r="E39" s="179" t="str">
        <f>IFERROR(HLOOKUP(D39,$G$10:O39,COUNTA($B$10:B39),FALSE),"")</f>
        <v/>
      </c>
      <c r="F39" s="145"/>
      <c r="G39" s="179" t="str">
        <f t="shared" si="4"/>
        <v/>
      </c>
      <c r="H39" s="179" t="str">
        <f>IFERROR(SUM(G39*VLOOKUP($H$10,Data!$F:$G,2,FALSE)),"")</f>
        <v/>
      </c>
      <c r="I39" s="179" t="str">
        <f>IFERROR(SUM(H39*VLOOKUP($I$10,Data!$F:$G,2,FALSE)),"")</f>
        <v/>
      </c>
      <c r="J39" s="179" t="str">
        <f>IFERROR(SUM(I39*VLOOKUP($J$10,Data!$F:$G,2,FALSE)),"")</f>
        <v/>
      </c>
      <c r="K39" s="179" t="str">
        <f>IFERROR(SUM(J39*VLOOKUP($K$10,Data!$F:$G,2,FALSE)),"")</f>
        <v/>
      </c>
      <c r="L39" s="179" t="str">
        <f>IFERROR(SUM(K39*VLOOKUP($L$10,Data!$F:$G,2,FALSE)),"")</f>
        <v/>
      </c>
      <c r="M39" s="179" t="str">
        <f>IFERROR(SUM(L39*VLOOKUP($M$10,Data!$F:$G,2,FALSE)),"")</f>
        <v/>
      </c>
      <c r="N39" s="179" t="str">
        <f>IFERROR(SUM(M39*VLOOKUP($N$10,Data!$F:$G,2,FALSE)),"")</f>
        <v/>
      </c>
      <c r="O39" s="179" t="str">
        <f>IFERROR(SUM(N39*VLOOKUP($O$10,Data!$F:$G,2,FALSE)),"")</f>
        <v/>
      </c>
    </row>
    <row r="40" spans="2:15" ht="13" x14ac:dyDescent="0.25">
      <c r="B40" s="143"/>
      <c r="C40" s="142"/>
      <c r="D40" s="178" t="str">
        <f t="shared" si="3"/>
        <v/>
      </c>
      <c r="E40" s="179" t="str">
        <f>IFERROR(HLOOKUP(D40,$G$10:O40,COUNTA($B$10:B40),FALSE),"")</f>
        <v/>
      </c>
      <c r="F40" s="145"/>
      <c r="G40" s="179" t="str">
        <f t="shared" si="4"/>
        <v/>
      </c>
      <c r="H40" s="179" t="str">
        <f>IFERROR(SUM(G40*VLOOKUP($H$10,Data!$F:$G,2,FALSE)),"")</f>
        <v/>
      </c>
      <c r="I40" s="179" t="str">
        <f>IFERROR(SUM(H40*VLOOKUP($I$10,Data!$F:$G,2,FALSE)),"")</f>
        <v/>
      </c>
      <c r="J40" s="179" t="str">
        <f>IFERROR(SUM(I40*VLOOKUP($J$10,Data!$F:$G,2,FALSE)),"")</f>
        <v/>
      </c>
      <c r="K40" s="179" t="str">
        <f>IFERROR(SUM(J40*VLOOKUP($K$10,Data!$F:$G,2,FALSE)),"")</f>
        <v/>
      </c>
      <c r="L40" s="179" t="str">
        <f>IFERROR(SUM(K40*VLOOKUP($L$10,Data!$F:$G,2,FALSE)),"")</f>
        <v/>
      </c>
      <c r="M40" s="179" t="str">
        <f>IFERROR(SUM(L40*VLOOKUP($M$10,Data!$F:$G,2,FALSE)),"")</f>
        <v/>
      </c>
      <c r="N40" s="179" t="str">
        <f>IFERROR(SUM(M40*VLOOKUP($N$10,Data!$F:$G,2,FALSE)),"")</f>
        <v/>
      </c>
      <c r="O40" s="179" t="str">
        <f>IFERROR(SUM(N40*VLOOKUP($O$10,Data!$F:$G,2,FALSE)),"")</f>
        <v/>
      </c>
    </row>
    <row r="41" spans="2:15" ht="13" x14ac:dyDescent="0.25">
      <c r="B41" s="143"/>
      <c r="C41" s="142"/>
      <c r="D41" s="178" t="str">
        <f t="shared" si="3"/>
        <v/>
      </c>
      <c r="E41" s="179" t="str">
        <f>IFERROR(HLOOKUP(D41,$G$10:O41,COUNTA($B$10:B41),FALSE),"")</f>
        <v/>
      </c>
      <c r="F41" s="145"/>
      <c r="G41" s="179" t="str">
        <f t="shared" si="4"/>
        <v/>
      </c>
      <c r="H41" s="179" t="str">
        <f>IFERROR(SUM(G41*VLOOKUP($H$10,Data!$F:$G,2,FALSE)),"")</f>
        <v/>
      </c>
      <c r="I41" s="179" t="str">
        <f>IFERROR(SUM(H41*VLOOKUP($I$10,Data!$F:$G,2,FALSE)),"")</f>
        <v/>
      </c>
      <c r="J41" s="179" t="str">
        <f>IFERROR(SUM(I41*VLOOKUP($J$10,Data!$F:$G,2,FALSE)),"")</f>
        <v/>
      </c>
      <c r="K41" s="179" t="str">
        <f>IFERROR(SUM(J41*VLOOKUP($K$10,Data!$F:$G,2,FALSE)),"")</f>
        <v/>
      </c>
      <c r="L41" s="179" t="str">
        <f>IFERROR(SUM(K41*VLOOKUP($L$10,Data!$F:$G,2,FALSE)),"")</f>
        <v/>
      </c>
      <c r="M41" s="179" t="str">
        <f>IFERROR(SUM(L41*VLOOKUP($M$10,Data!$F:$G,2,FALSE)),"")</f>
        <v/>
      </c>
      <c r="N41" s="179" t="str">
        <f>IFERROR(SUM(M41*VLOOKUP($N$10,Data!$F:$G,2,FALSE)),"")</f>
        <v/>
      </c>
      <c r="O41" s="179" t="str">
        <f>IFERROR(SUM(N41*VLOOKUP($O$10,Data!$F:$G,2,FALSE)),"")</f>
        <v/>
      </c>
    </row>
    <row r="42" spans="2:15" ht="13" x14ac:dyDescent="0.25">
      <c r="B42" s="143"/>
      <c r="C42" s="142"/>
      <c r="D42" s="178" t="str">
        <f t="shared" si="3"/>
        <v/>
      </c>
      <c r="E42" s="179" t="str">
        <f>IFERROR(HLOOKUP(D42,$G$10:O42,COUNTA($B$10:B42),FALSE),"")</f>
        <v/>
      </c>
      <c r="F42" s="145"/>
      <c r="G42" s="179" t="str">
        <f t="shared" si="4"/>
        <v/>
      </c>
      <c r="H42" s="179" t="str">
        <f>IFERROR(SUM(G42*VLOOKUP($H$10,Data!$F:$G,2,FALSE)),"")</f>
        <v/>
      </c>
      <c r="I42" s="179" t="str">
        <f>IFERROR(SUM(H42*VLOOKUP($I$10,Data!$F:$G,2,FALSE)),"")</f>
        <v/>
      </c>
      <c r="J42" s="179" t="str">
        <f>IFERROR(SUM(I42*VLOOKUP($J$10,Data!$F:$G,2,FALSE)),"")</f>
        <v/>
      </c>
      <c r="K42" s="179" t="str">
        <f>IFERROR(SUM(J42*VLOOKUP($K$10,Data!$F:$G,2,FALSE)),"")</f>
        <v/>
      </c>
      <c r="L42" s="179" t="str">
        <f>IFERROR(SUM(K42*VLOOKUP($L$10,Data!$F:$G,2,FALSE)),"")</f>
        <v/>
      </c>
      <c r="M42" s="179" t="str">
        <f>IFERROR(SUM(L42*VLOOKUP($M$10,Data!$F:$G,2,FALSE)),"")</f>
        <v/>
      </c>
      <c r="N42" s="179" t="str">
        <f>IFERROR(SUM(M42*VLOOKUP($N$10,Data!$F:$G,2,FALSE)),"")</f>
        <v/>
      </c>
      <c r="O42" s="179" t="str">
        <f>IFERROR(SUM(N42*VLOOKUP($O$10,Data!$F:$G,2,FALSE)),"")</f>
        <v/>
      </c>
    </row>
    <row r="43" spans="2:15" ht="13" x14ac:dyDescent="0.25">
      <c r="B43" s="143"/>
      <c r="C43" s="142"/>
      <c r="D43" s="178" t="str">
        <f t="shared" si="3"/>
        <v/>
      </c>
      <c r="E43" s="179" t="str">
        <f>IFERROR(HLOOKUP(D43,$G$10:O43,COUNTA($B$10:B43),FALSE),"")</f>
        <v/>
      </c>
      <c r="F43" s="145"/>
      <c r="G43" s="179" t="str">
        <f t="shared" si="4"/>
        <v/>
      </c>
      <c r="H43" s="179" t="str">
        <f>IFERROR(SUM(G43*VLOOKUP($H$10,Data!$F:$G,2,FALSE)),"")</f>
        <v/>
      </c>
      <c r="I43" s="179" t="str">
        <f>IFERROR(SUM(H43*VLOOKUP($I$10,Data!$F:$G,2,FALSE)),"")</f>
        <v/>
      </c>
      <c r="J43" s="179" t="str">
        <f>IFERROR(SUM(I43*VLOOKUP($J$10,Data!$F:$G,2,FALSE)),"")</f>
        <v/>
      </c>
      <c r="K43" s="179" t="str">
        <f>IFERROR(SUM(J43*VLOOKUP($K$10,Data!$F:$G,2,FALSE)),"")</f>
        <v/>
      </c>
      <c r="L43" s="179" t="str">
        <f>IFERROR(SUM(K43*VLOOKUP($L$10,Data!$F:$G,2,FALSE)),"")</f>
        <v/>
      </c>
      <c r="M43" s="179" t="str">
        <f>IFERROR(SUM(L43*VLOOKUP($M$10,Data!$F:$G,2,FALSE)),"")</f>
        <v/>
      </c>
      <c r="N43" s="179" t="str">
        <f>IFERROR(SUM(M43*VLOOKUP($N$10,Data!$F:$G,2,FALSE)),"")</f>
        <v/>
      </c>
      <c r="O43" s="179" t="str">
        <f>IFERROR(SUM(N43*VLOOKUP($O$10,Data!$F:$G,2,FALSE)),"")</f>
        <v/>
      </c>
    </row>
    <row r="44" spans="2:15" ht="13" x14ac:dyDescent="0.25">
      <c r="B44" s="143"/>
      <c r="C44" s="142"/>
      <c r="D44" s="178" t="str">
        <f t="shared" si="3"/>
        <v/>
      </c>
      <c r="E44" s="179" t="str">
        <f>IFERROR(HLOOKUP(D44,$G$10:O44,COUNTA($B$10:B44),FALSE),"")</f>
        <v/>
      </c>
      <c r="F44" s="145"/>
      <c r="G44" s="179" t="str">
        <f t="shared" si="4"/>
        <v/>
      </c>
      <c r="H44" s="179" t="str">
        <f>IFERROR(SUM(G44*VLOOKUP($H$10,Data!$F:$G,2,FALSE)),"")</f>
        <v/>
      </c>
      <c r="I44" s="179" t="str">
        <f>IFERROR(SUM(H44*VLOOKUP($I$10,Data!$F:$G,2,FALSE)),"")</f>
        <v/>
      </c>
      <c r="J44" s="179" t="str">
        <f>IFERROR(SUM(I44*VLOOKUP($J$10,Data!$F:$G,2,FALSE)),"")</f>
        <v/>
      </c>
      <c r="K44" s="179" t="str">
        <f>IFERROR(SUM(J44*VLOOKUP($K$10,Data!$F:$G,2,FALSE)),"")</f>
        <v/>
      </c>
      <c r="L44" s="179" t="str">
        <f>IFERROR(SUM(K44*VLOOKUP($L$10,Data!$F:$G,2,FALSE)),"")</f>
        <v/>
      </c>
      <c r="M44" s="179" t="str">
        <f>IFERROR(SUM(L44*VLOOKUP($M$10,Data!$F:$G,2,FALSE)),"")</f>
        <v/>
      </c>
      <c r="N44" s="179" t="str">
        <f>IFERROR(SUM(M44*VLOOKUP($N$10,Data!$F:$G,2,FALSE)),"")</f>
        <v/>
      </c>
      <c r="O44" s="179" t="str">
        <f>IFERROR(SUM(N44*VLOOKUP($O$10,Data!$F:$G,2,FALSE)),"")</f>
        <v/>
      </c>
    </row>
    <row r="45" spans="2:15" ht="13" x14ac:dyDescent="0.25">
      <c r="B45" s="143"/>
      <c r="C45" s="142"/>
      <c r="D45" s="178" t="str">
        <f t="shared" si="3"/>
        <v/>
      </c>
      <c r="E45" s="179" t="str">
        <f>IFERROR(HLOOKUP(D45,$G$10:O45,COUNTA($B$10:B45),FALSE),"")</f>
        <v/>
      </c>
      <c r="F45" s="145"/>
      <c r="G45" s="179" t="str">
        <f t="shared" si="4"/>
        <v/>
      </c>
      <c r="H45" s="179" t="str">
        <f>IFERROR(SUM(G45*VLOOKUP($H$10,Data!$F:$G,2,FALSE)),"")</f>
        <v/>
      </c>
      <c r="I45" s="179" t="str">
        <f>IFERROR(SUM(H45*VLOOKUP($I$10,Data!$F:$G,2,FALSE)),"")</f>
        <v/>
      </c>
      <c r="J45" s="179" t="str">
        <f>IFERROR(SUM(I45*VLOOKUP($J$10,Data!$F:$G,2,FALSE)),"")</f>
        <v/>
      </c>
      <c r="K45" s="179" t="str">
        <f>IFERROR(SUM(J45*VLOOKUP($K$10,Data!$F:$G,2,FALSE)),"")</f>
        <v/>
      </c>
      <c r="L45" s="179" t="str">
        <f>IFERROR(SUM(K45*VLOOKUP($L$10,Data!$F:$G,2,FALSE)),"")</f>
        <v/>
      </c>
      <c r="M45" s="179" t="str">
        <f>IFERROR(SUM(L45*VLOOKUP($M$10,Data!$F:$G,2,FALSE)),"")</f>
        <v/>
      </c>
      <c r="N45" s="179" t="str">
        <f>IFERROR(SUM(M45*VLOOKUP($N$10,Data!$F:$G,2,FALSE)),"")</f>
        <v/>
      </c>
      <c r="O45" s="179" t="str">
        <f>IFERROR(SUM(N45*VLOOKUP($O$10,Data!$F:$G,2,FALSE)),"")</f>
        <v/>
      </c>
    </row>
    <row r="46" spans="2:15" ht="13" x14ac:dyDescent="0.25">
      <c r="B46" s="143"/>
      <c r="C46" s="142"/>
      <c r="D46" s="178" t="str">
        <f t="shared" ref="D46:D52" si="5">IF(B46="","",IF(B46&lt;&gt;0,YEAR(B46)+(MONTH(B46)&gt;=4)-1,0))</f>
        <v/>
      </c>
      <c r="E46" s="179" t="str">
        <f>IFERROR(HLOOKUP(D46,$G$10:O46,COUNTA($B$10:B46),FALSE),"")</f>
        <v/>
      </c>
      <c r="F46" s="145"/>
      <c r="G46" s="179" t="str">
        <f t="shared" si="4"/>
        <v/>
      </c>
      <c r="H46" s="179" t="str">
        <f>IFERROR(SUM(G46*VLOOKUP($H$10,Data!$F:$G,2,FALSE)),"")</f>
        <v/>
      </c>
      <c r="I46" s="179" t="str">
        <f>IFERROR(SUM(H46*VLOOKUP($I$10,Data!$F:$G,2,FALSE)),"")</f>
        <v/>
      </c>
      <c r="J46" s="179" t="str">
        <f>IFERROR(SUM(I46*VLOOKUP($J$10,Data!$F:$G,2,FALSE)),"")</f>
        <v/>
      </c>
      <c r="K46" s="179" t="str">
        <f>IFERROR(SUM(J46*VLOOKUP($K$10,Data!$F:$G,2,FALSE)),"")</f>
        <v/>
      </c>
      <c r="L46" s="179" t="str">
        <f>IFERROR(SUM(K46*VLOOKUP($L$10,Data!$F:$G,2,FALSE)),"")</f>
        <v/>
      </c>
      <c r="M46" s="179" t="str">
        <f>IFERROR(SUM(L46*VLOOKUP($M$10,Data!$F:$G,2,FALSE)),"")</f>
        <v/>
      </c>
      <c r="N46" s="179" t="str">
        <f>IFERROR(SUM(M46*VLOOKUP($N$10,Data!$F:$G,2,FALSE)),"")</f>
        <v/>
      </c>
      <c r="O46" s="179" t="str">
        <f>IFERROR(SUM(N46*VLOOKUP($O$10,Data!$F:$G,2,FALSE)),"")</f>
        <v/>
      </c>
    </row>
    <row r="47" spans="2:15" ht="13" x14ac:dyDescent="0.25">
      <c r="B47" s="143"/>
      <c r="C47" s="142"/>
      <c r="D47" s="178" t="str">
        <f t="shared" si="5"/>
        <v/>
      </c>
      <c r="E47" s="179" t="str">
        <f>IFERROR(HLOOKUP(D47,$G$10:O47,COUNTA($B$10:B47),FALSE),"")</f>
        <v/>
      </c>
      <c r="F47" s="145"/>
      <c r="G47" s="179" t="str">
        <f t="shared" si="4"/>
        <v/>
      </c>
      <c r="H47" s="179" t="str">
        <f>IFERROR(SUM(G47*VLOOKUP($H$10,Data!$F:$G,2,FALSE)),"")</f>
        <v/>
      </c>
      <c r="I47" s="179" t="str">
        <f>IFERROR(SUM(H47*VLOOKUP($I$10,Data!$F:$G,2,FALSE)),"")</f>
        <v/>
      </c>
      <c r="J47" s="179" t="str">
        <f>IFERROR(SUM(I47*VLOOKUP($J$10,Data!$F:$G,2,FALSE)),"")</f>
        <v/>
      </c>
      <c r="K47" s="179" t="str">
        <f>IFERROR(SUM(J47*VLOOKUP($K$10,Data!$F:$G,2,FALSE)),"")</f>
        <v/>
      </c>
      <c r="L47" s="179" t="str">
        <f>IFERROR(SUM(K47*VLOOKUP($L$10,Data!$F:$G,2,FALSE)),"")</f>
        <v/>
      </c>
      <c r="M47" s="179" t="str">
        <f>IFERROR(SUM(L47*VLOOKUP($M$10,Data!$F:$G,2,FALSE)),"")</f>
        <v/>
      </c>
      <c r="N47" s="179" t="str">
        <f>IFERROR(SUM(M47*VLOOKUP($N$10,Data!$F:$G,2,FALSE)),"")</f>
        <v/>
      </c>
      <c r="O47" s="179" t="str">
        <f>IFERROR(SUM(N47*VLOOKUP($O$10,Data!$F:$G,2,FALSE)),"")</f>
        <v/>
      </c>
    </row>
    <row r="48" spans="2:15" ht="13" x14ac:dyDescent="0.25">
      <c r="B48" s="143"/>
      <c r="C48" s="142"/>
      <c r="D48" s="178" t="str">
        <f t="shared" si="5"/>
        <v/>
      </c>
      <c r="E48" s="179" t="str">
        <f>IFERROR(HLOOKUP(D48,$G$10:O48,COUNTA($B$10:B48),FALSE),"")</f>
        <v/>
      </c>
      <c r="F48" s="145"/>
      <c r="G48" s="179" t="str">
        <f t="shared" si="4"/>
        <v/>
      </c>
      <c r="H48" s="179" t="str">
        <f>IFERROR(SUM(G48*VLOOKUP($H$10,Data!$F:$G,2,FALSE)),"")</f>
        <v/>
      </c>
      <c r="I48" s="179" t="str">
        <f>IFERROR(SUM(H48*VLOOKUP($I$10,Data!$F:$G,2,FALSE)),"")</f>
        <v/>
      </c>
      <c r="J48" s="179" t="str">
        <f>IFERROR(SUM(I48*VLOOKUP($J$10,Data!$F:$G,2,FALSE)),"")</f>
        <v/>
      </c>
      <c r="K48" s="179" t="str">
        <f>IFERROR(SUM(J48*VLOOKUP($K$10,Data!$F:$G,2,FALSE)),"")</f>
        <v/>
      </c>
      <c r="L48" s="179" t="str">
        <f>IFERROR(SUM(K48*VLOOKUP($L$10,Data!$F:$G,2,FALSE)),"")</f>
        <v/>
      </c>
      <c r="M48" s="179" t="str">
        <f>IFERROR(SUM(L48*VLOOKUP($M$10,Data!$F:$G,2,FALSE)),"")</f>
        <v/>
      </c>
      <c r="N48" s="179" t="str">
        <f>IFERROR(SUM(M48*VLOOKUP($N$10,Data!$F:$G,2,FALSE)),"")</f>
        <v/>
      </c>
      <c r="O48" s="179" t="str">
        <f>IFERROR(SUM(N48*VLOOKUP($O$10,Data!$F:$G,2,FALSE)),"")</f>
        <v/>
      </c>
    </row>
    <row r="49" spans="2:15" ht="13" x14ac:dyDescent="0.25">
      <c r="B49" s="143"/>
      <c r="C49" s="142"/>
      <c r="D49" s="178" t="str">
        <f t="shared" si="5"/>
        <v/>
      </c>
      <c r="E49" s="179" t="str">
        <f>IFERROR(HLOOKUP(D49,$G$10:O49,COUNTA($B$10:B49),FALSE),"")</f>
        <v/>
      </c>
      <c r="F49" s="145"/>
      <c r="G49" s="179" t="str">
        <f t="shared" si="4"/>
        <v/>
      </c>
      <c r="H49" s="179" t="str">
        <f>IFERROR(SUM(G49*VLOOKUP($H$10,Data!$F:$G,2,FALSE)),"")</f>
        <v/>
      </c>
      <c r="I49" s="179" t="str">
        <f>IFERROR(SUM(H49*VLOOKUP($I$10,Data!$F:$G,2,FALSE)),"")</f>
        <v/>
      </c>
      <c r="J49" s="179" t="str">
        <f>IFERROR(SUM(I49*VLOOKUP($J$10,Data!$F:$G,2,FALSE)),"")</f>
        <v/>
      </c>
      <c r="K49" s="179" t="str">
        <f>IFERROR(SUM(J49*VLOOKUP($K$10,Data!$F:$G,2,FALSE)),"")</f>
        <v/>
      </c>
      <c r="L49" s="179" t="str">
        <f>IFERROR(SUM(K49*VLOOKUP($L$10,Data!$F:$G,2,FALSE)),"")</f>
        <v/>
      </c>
      <c r="M49" s="179" t="str">
        <f>IFERROR(SUM(L49*VLOOKUP($M$10,Data!$F:$G,2,FALSE)),"")</f>
        <v/>
      </c>
      <c r="N49" s="179" t="str">
        <f>IFERROR(SUM(M49*VLOOKUP($N$10,Data!$F:$G,2,FALSE)),"")</f>
        <v/>
      </c>
      <c r="O49" s="179" t="str">
        <f>IFERROR(SUM(N49*VLOOKUP($O$10,Data!$F:$G,2,FALSE)),"")</f>
        <v/>
      </c>
    </row>
    <row r="50" spans="2:15" ht="13" x14ac:dyDescent="0.25">
      <c r="B50" s="143"/>
      <c r="C50" s="142"/>
      <c r="D50" s="178" t="str">
        <f t="shared" si="5"/>
        <v/>
      </c>
      <c r="E50" s="179" t="str">
        <f>IFERROR(HLOOKUP(D50,$G$10:O50,COUNTA($B$10:B50),FALSE),"")</f>
        <v/>
      </c>
      <c r="F50" s="145"/>
      <c r="G50" s="179" t="str">
        <f t="shared" si="4"/>
        <v/>
      </c>
      <c r="H50" s="179" t="str">
        <f>IFERROR(SUM(G50*VLOOKUP($H$10,Data!$F:$G,2,FALSE)),"")</f>
        <v/>
      </c>
      <c r="I50" s="179" t="str">
        <f>IFERROR(SUM(H50*VLOOKUP($I$10,Data!$F:$G,2,FALSE)),"")</f>
        <v/>
      </c>
      <c r="J50" s="179" t="str">
        <f>IFERROR(SUM(I50*VLOOKUP($J$10,Data!$F:$G,2,FALSE)),"")</f>
        <v/>
      </c>
      <c r="K50" s="179" t="str">
        <f>IFERROR(SUM(J50*VLOOKUP($K$10,Data!$F:$G,2,FALSE)),"")</f>
        <v/>
      </c>
      <c r="L50" s="179" t="str">
        <f>IFERROR(SUM(K50*VLOOKUP($L$10,Data!$F:$G,2,FALSE)),"")</f>
        <v/>
      </c>
      <c r="M50" s="179" t="str">
        <f>IFERROR(SUM(L50*VLOOKUP($M$10,Data!$F:$G,2,FALSE)),"")</f>
        <v/>
      </c>
      <c r="N50" s="179" t="str">
        <f>IFERROR(SUM(M50*VLOOKUP($N$10,Data!$F:$G,2,FALSE)),"")</f>
        <v/>
      </c>
      <c r="O50" s="179" t="str">
        <f>IFERROR(SUM(N50*VLOOKUP($O$10,Data!$F:$G,2,FALSE)),"")</f>
        <v/>
      </c>
    </row>
    <row r="51" spans="2:15" ht="13" x14ac:dyDescent="0.25">
      <c r="B51" s="143"/>
      <c r="C51" s="142"/>
      <c r="D51" s="178" t="str">
        <f t="shared" si="5"/>
        <v/>
      </c>
      <c r="E51" s="179" t="str">
        <f>IFERROR(HLOOKUP(D51,$G$10:O51,COUNTA($B$10:B51),FALSE),"")</f>
        <v/>
      </c>
      <c r="F51" s="145"/>
      <c r="G51" s="179" t="str">
        <f t="shared" si="4"/>
        <v/>
      </c>
      <c r="H51" s="179" t="str">
        <f>IFERROR(SUM(G51*VLOOKUP($H$10,Data!$F:$G,2,FALSE)),"")</f>
        <v/>
      </c>
      <c r="I51" s="179" t="str">
        <f>IFERROR(SUM(H51*VLOOKUP($I$10,Data!$F:$G,2,FALSE)),"")</f>
        <v/>
      </c>
      <c r="J51" s="179" t="str">
        <f>IFERROR(SUM(I51*VLOOKUP($J$10,Data!$F:$G,2,FALSE)),"")</f>
        <v/>
      </c>
      <c r="K51" s="179" t="str">
        <f>IFERROR(SUM(J51*VLOOKUP($K$10,Data!$F:$G,2,FALSE)),"")</f>
        <v/>
      </c>
      <c r="L51" s="179" t="str">
        <f>IFERROR(SUM(K51*VLOOKUP($L$10,Data!$F:$G,2,FALSE)),"")</f>
        <v/>
      </c>
      <c r="M51" s="179" t="str">
        <f>IFERROR(SUM(L51*VLOOKUP($M$10,Data!$F:$G,2,FALSE)),"")</f>
        <v/>
      </c>
      <c r="N51" s="179" t="str">
        <f>IFERROR(SUM(M51*VLOOKUP($N$10,Data!$F:$G,2,FALSE)),"")</f>
        <v/>
      </c>
      <c r="O51" s="179" t="str">
        <f>IFERROR(SUM(N51*VLOOKUP($O$10,Data!$F:$G,2,FALSE)),"")</f>
        <v/>
      </c>
    </row>
    <row r="52" spans="2:15" ht="13" x14ac:dyDescent="0.25">
      <c r="B52" s="143"/>
      <c r="C52" s="142"/>
      <c r="D52" s="178" t="str">
        <f t="shared" si="5"/>
        <v/>
      </c>
      <c r="E52" s="179" t="str">
        <f>IFERROR(HLOOKUP(D52,$G$10:O52,COUNTA($B$10:B52),FALSE),"")</f>
        <v/>
      </c>
      <c r="F52" s="145"/>
      <c r="G52" s="179" t="str">
        <f t="shared" si="4"/>
        <v/>
      </c>
      <c r="H52" s="179" t="str">
        <f>IFERROR(SUM(G52*VLOOKUP($H$10,Data!$F:$G,2,FALSE)),"")</f>
        <v/>
      </c>
      <c r="I52" s="179" t="str">
        <f>IFERROR(SUM(H52*VLOOKUP($I$10,Data!$F:$G,2,FALSE)),"")</f>
        <v/>
      </c>
      <c r="J52" s="179" t="str">
        <f>IFERROR(SUM(I52*VLOOKUP($J$10,Data!$F:$G,2,FALSE)),"")</f>
        <v/>
      </c>
      <c r="K52" s="179" t="str">
        <f>IFERROR(SUM(J52*VLOOKUP($K$10,Data!$F:$G,2,FALSE)),"")</f>
        <v/>
      </c>
      <c r="L52" s="179" t="str">
        <f>IFERROR(SUM(K52*VLOOKUP($L$10,Data!$F:$G,2,FALSE)),"")</f>
        <v/>
      </c>
      <c r="M52" s="179" t="str">
        <f>IFERROR(SUM(L52*VLOOKUP($M$10,Data!$F:$G,2,FALSE)),"")</f>
        <v/>
      </c>
      <c r="N52" s="179" t="str">
        <f>IFERROR(SUM(M52*VLOOKUP($N$10,Data!$F:$G,2,FALSE)),"")</f>
        <v/>
      </c>
      <c r="O52" s="179" t="str">
        <f>IFERROR(SUM(N52*VLOOKUP($O$10,Data!$F:$G,2,FALSE)),"")</f>
        <v/>
      </c>
    </row>
    <row r="53" spans="2:15" ht="13" x14ac:dyDescent="0.25">
      <c r="B53" s="143"/>
      <c r="C53" s="142"/>
      <c r="D53" s="178" t="str">
        <f t="shared" ref="D53:D56" si="6">IF(B53="","",IF(B53&lt;&gt;0,YEAR(B53)+(MONTH(B53)&gt;=4)-1,0))</f>
        <v/>
      </c>
      <c r="E53" s="179" t="str">
        <f>IFERROR(HLOOKUP(D53,$G$10:O53,COUNTA($B$10:B53),FALSE),"")</f>
        <v/>
      </c>
      <c r="F53" s="145"/>
      <c r="G53" s="179" t="str">
        <f t="shared" si="4"/>
        <v/>
      </c>
      <c r="H53" s="179" t="str">
        <f>IFERROR(SUM(G53*VLOOKUP($H$10,Data!$F:$G,2,FALSE)),"")</f>
        <v/>
      </c>
      <c r="I53" s="179" t="str">
        <f>IFERROR(SUM(H53*VLOOKUP($I$10,Data!$F:$G,2,FALSE)),"")</f>
        <v/>
      </c>
      <c r="J53" s="179" t="str">
        <f>IFERROR(SUM(I53*VLOOKUP($J$10,Data!$F:$G,2,FALSE)),"")</f>
        <v/>
      </c>
      <c r="K53" s="179" t="str">
        <f>IFERROR(SUM(J53*VLOOKUP($K$10,Data!$F:$G,2,FALSE)),"")</f>
        <v/>
      </c>
      <c r="L53" s="179" t="str">
        <f>IFERROR(SUM(K53*VLOOKUP($L$10,Data!$F:$G,2,FALSE)),"")</f>
        <v/>
      </c>
      <c r="M53" s="179" t="str">
        <f>IFERROR(SUM(L53*VLOOKUP($M$10,Data!$F:$G,2,FALSE)),"")</f>
        <v/>
      </c>
      <c r="N53" s="179" t="str">
        <f>IFERROR(SUM(M53*VLOOKUP($N$10,Data!$F:$G,2,FALSE)),"")</f>
        <v/>
      </c>
      <c r="O53" s="179" t="str">
        <f>IFERROR(SUM(N53*VLOOKUP($O$10,Data!$F:$G,2,FALSE)),"")</f>
        <v/>
      </c>
    </row>
    <row r="54" spans="2:15" ht="13" x14ac:dyDescent="0.25">
      <c r="B54" s="143"/>
      <c r="C54" s="142"/>
      <c r="D54" s="178" t="str">
        <f t="shared" si="6"/>
        <v/>
      </c>
      <c r="E54" s="179" t="str">
        <f>IFERROR(HLOOKUP(D54,$G$10:O54,COUNTA($B$10:B54),FALSE),"")</f>
        <v/>
      </c>
      <c r="G54" s="179" t="str">
        <f t="shared" ref="G54:G56" si="7">IF(C54="","",C54)</f>
        <v/>
      </c>
      <c r="H54" s="179" t="str">
        <f>IFERROR(SUM(G54*VLOOKUP($H$10,Data!$F:$G,2,FALSE)),"")</f>
        <v/>
      </c>
      <c r="I54" s="179" t="str">
        <f>IFERROR(SUM(H54*VLOOKUP($I$10,Data!$F:$G,2,FALSE)),"")</f>
        <v/>
      </c>
      <c r="J54" s="179" t="str">
        <f>IFERROR(SUM(I54*VLOOKUP($J$10,Data!$F:$G,2,FALSE)),"")</f>
        <v/>
      </c>
      <c r="K54" s="179" t="str">
        <f>IFERROR(SUM(J54*VLOOKUP($K$10,Data!$F:$G,2,FALSE)),"")</f>
        <v/>
      </c>
      <c r="L54" s="179" t="str">
        <f>IFERROR(SUM(K54*VLOOKUP($L$10,Data!$F:$G,2,FALSE)),"")</f>
        <v/>
      </c>
      <c r="M54" s="179" t="str">
        <f>IFERROR(SUM(L54*VLOOKUP($M$10,Data!$F:$G,2,FALSE)),"")</f>
        <v/>
      </c>
      <c r="N54" s="179" t="str">
        <f>IFERROR(SUM(M54*VLOOKUP($N$10,Data!$F:$G,2,FALSE)),"")</f>
        <v/>
      </c>
      <c r="O54" s="179" t="str">
        <f>IFERROR(SUM(N54*VLOOKUP($O$10,Data!$F:$G,2,FALSE)),"")</f>
        <v/>
      </c>
    </row>
    <row r="55" spans="2:15" ht="13" x14ac:dyDescent="0.25">
      <c r="B55" s="143"/>
      <c r="C55" s="142"/>
      <c r="D55" s="178" t="str">
        <f t="shared" si="6"/>
        <v/>
      </c>
      <c r="E55" s="179" t="str">
        <f>IFERROR(HLOOKUP(D55,$G$10:O55,COUNTA($B$10:B55),FALSE),"")</f>
        <v/>
      </c>
      <c r="G55" s="179" t="str">
        <f t="shared" si="7"/>
        <v/>
      </c>
      <c r="H55" s="179" t="str">
        <f>IFERROR(SUM(G55*VLOOKUP($H$10,Data!$F:$G,2,FALSE)),"")</f>
        <v/>
      </c>
      <c r="I55" s="179" t="str">
        <f>IFERROR(SUM(H55*VLOOKUP($I$10,Data!$F:$G,2,FALSE)),"")</f>
        <v/>
      </c>
      <c r="J55" s="179" t="str">
        <f>IFERROR(SUM(I55*VLOOKUP($J$10,Data!$F:$G,2,FALSE)),"")</f>
        <v/>
      </c>
      <c r="K55" s="179" t="str">
        <f>IFERROR(SUM(J55*VLOOKUP($K$10,Data!$F:$G,2,FALSE)),"")</f>
        <v/>
      </c>
      <c r="L55" s="179" t="str">
        <f>IFERROR(SUM(K55*VLOOKUP($L$10,Data!$F:$G,2,FALSE)),"")</f>
        <v/>
      </c>
      <c r="M55" s="179" t="str">
        <f>IFERROR(SUM(L55*VLOOKUP($M$10,Data!$F:$G,2,FALSE)),"")</f>
        <v/>
      </c>
      <c r="N55" s="179" t="str">
        <f>IFERROR(SUM(M55*VLOOKUP($N$10,Data!$F:$G,2,FALSE)),"")</f>
        <v/>
      </c>
      <c r="O55" s="179" t="str">
        <f>IFERROR(SUM(N55*VLOOKUP($O$10,Data!$F:$G,2,FALSE)),"")</f>
        <v/>
      </c>
    </row>
    <row r="56" spans="2:15" ht="13" x14ac:dyDescent="0.25">
      <c r="B56" s="143"/>
      <c r="C56" s="142"/>
      <c r="D56" s="150" t="str">
        <f t="shared" si="6"/>
        <v/>
      </c>
      <c r="E56" s="151" t="str">
        <f>IFERROR(HLOOKUP(D56,$G$10:O56,COUNTA($B$10:B56),FALSE),"")</f>
        <v/>
      </c>
      <c r="F56" s="152"/>
      <c r="G56" s="151" t="str">
        <f t="shared" si="7"/>
        <v/>
      </c>
      <c r="H56" s="151" t="str">
        <f>IFERROR(SUM(G56*VLOOKUP($H$10,Data!$F:$G,2,FALSE)),"")</f>
        <v/>
      </c>
      <c r="I56" s="151" t="str">
        <f>IFERROR(SUM(H56*VLOOKUP($I$10,Data!$F:$G,2,FALSE)),"")</f>
        <v/>
      </c>
      <c r="J56" s="151" t="str">
        <f>IFERROR(SUM(I56*VLOOKUP($J$10,Data!$F:$G,2,FALSE)),"")</f>
        <v/>
      </c>
      <c r="K56" s="151" t="str">
        <f>IFERROR(SUM(J56*VLOOKUP($K$10,Data!$F:$G,2,FALSE)),"")</f>
        <v/>
      </c>
      <c r="L56" s="151" t="str">
        <f>IFERROR(SUM(K56*VLOOKUP($L$10,Data!$F:$G,2,FALSE)),"")</f>
        <v/>
      </c>
      <c r="M56" s="151" t="str">
        <f>IFERROR(SUM(L56*VLOOKUP($M$10,Data!$F:$G,2,FALSE)),"")</f>
        <v/>
      </c>
      <c r="N56" s="151" t="str">
        <f>IFERROR(SUM(M56*VLOOKUP($N$10,Data!$F:$G,2,FALSE)),"")</f>
        <v/>
      </c>
      <c r="O56" s="151" t="str">
        <f>IFERROR(SUM(N56*VLOOKUP($O$10,Data!$F:$G,2,FALSE)),"")</f>
        <v/>
      </c>
    </row>
    <row r="57" spans="2:15" x14ac:dyDescent="0.25">
      <c r="D57" s="144"/>
      <c r="E57" s="58"/>
    </row>
  </sheetData>
  <mergeCells count="1">
    <mergeCell ref="G3:Q8"/>
  </mergeCells>
  <dataValidations count="1">
    <dataValidation type="date" allowBlank="1" showInputMessage="1" showErrorMessage="1" errorTitle="Incorrect Date" error="Check Date" sqref="B11:B56" xr:uid="{127A28D4-7CAE-4482-995F-FB64EB3B101A}">
      <formula1>36526</formula1>
      <formula2>2958101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03D81-3F13-40C5-8B79-5EEC46E159EA}">
  <sheetPr codeName="Sheet3">
    <tabColor rgb="FF7030A0"/>
    <pageSetUpPr fitToPage="1"/>
  </sheetPr>
  <dimension ref="A1:Z47"/>
  <sheetViews>
    <sheetView showGridLines="0" topLeftCell="A48" zoomScale="80" zoomScaleNormal="80" workbookViewId="0">
      <selection activeCell="C23" sqref="C23:L26"/>
    </sheetView>
  </sheetViews>
  <sheetFormatPr defaultColWidth="0" defaultRowHeight="13" x14ac:dyDescent="0.25"/>
  <cols>
    <col min="1" max="1" width="11.08984375" style="36" customWidth="1"/>
    <col min="2" max="2" width="4.54296875" style="36" customWidth="1"/>
    <col min="3" max="3" width="35.453125" style="2" bestFit="1" customWidth="1"/>
    <col min="4" max="4" width="18" style="36" customWidth="1"/>
    <col min="5" max="13" width="15.54296875" style="36" customWidth="1"/>
    <col min="14" max="14" width="15.54296875" style="37" customWidth="1"/>
    <col min="15" max="15" width="9.453125" style="36" customWidth="1"/>
    <col min="16" max="18" width="9.453125" style="36" hidden="1" customWidth="1"/>
    <col min="19" max="19" width="11.54296875" style="36" hidden="1" customWidth="1"/>
    <col min="20" max="20" width="9.453125" style="36" hidden="1" customWidth="1"/>
    <col min="21" max="21" width="9.453125" style="37" hidden="1" customWidth="1"/>
    <col min="22" max="24" width="9.453125" style="36" hidden="1" customWidth="1"/>
    <col min="25" max="25" width="18.453125" style="36" hidden="1" customWidth="1"/>
    <col min="26" max="26" width="0" style="36" hidden="1" customWidth="1"/>
    <col min="27" max="16384" width="9.453125" style="36" hidden="1"/>
  </cols>
  <sheetData>
    <row r="1" spans="1:15" ht="12.75" customHeight="1" x14ac:dyDescent="0.25">
      <c r="E1" s="227" t="s">
        <v>146</v>
      </c>
      <c r="F1" s="227"/>
      <c r="G1" s="227"/>
      <c r="H1" s="227"/>
      <c r="I1" s="227"/>
      <c r="J1" s="227"/>
      <c r="K1" s="227"/>
      <c r="L1" s="227"/>
      <c r="M1" s="227"/>
      <c r="N1" s="227"/>
      <c r="O1" s="227"/>
    </row>
    <row r="2" spans="1:15" x14ac:dyDescent="0.25">
      <c r="E2" s="227"/>
      <c r="F2" s="227"/>
      <c r="G2" s="227"/>
      <c r="H2" s="227"/>
      <c r="I2" s="227"/>
      <c r="J2" s="227"/>
      <c r="K2" s="227"/>
      <c r="L2" s="227"/>
      <c r="M2" s="227"/>
      <c r="N2" s="227"/>
      <c r="O2" s="227"/>
    </row>
    <row r="3" spans="1:15" x14ac:dyDescent="0.25">
      <c r="E3" s="227"/>
      <c r="F3" s="227"/>
      <c r="G3" s="227"/>
      <c r="H3" s="227"/>
      <c r="I3" s="227"/>
      <c r="J3" s="227"/>
      <c r="K3" s="227"/>
      <c r="L3" s="227"/>
      <c r="M3" s="227"/>
      <c r="N3" s="227"/>
      <c r="O3" s="227"/>
    </row>
    <row r="4" spans="1:15" x14ac:dyDescent="0.25">
      <c r="E4" s="227"/>
      <c r="F4" s="227"/>
      <c r="G4" s="227"/>
      <c r="H4" s="227"/>
      <c r="I4" s="227"/>
      <c r="J4" s="227"/>
      <c r="K4" s="227"/>
      <c r="L4" s="227"/>
      <c r="M4" s="227"/>
      <c r="N4" s="227"/>
      <c r="O4" s="227"/>
    </row>
    <row r="6" spans="1:15" x14ac:dyDescent="0.25">
      <c r="G6" s="29"/>
      <c r="H6" s="29"/>
      <c r="O6" s="52"/>
    </row>
    <row r="7" spans="1:15" ht="16.5" customHeight="1" x14ac:dyDescent="0.25">
      <c r="C7" s="88" t="s">
        <v>19</v>
      </c>
      <c r="D7" s="63" t="str">
        <f>IF('User Input'!B8&lt;&gt;"",'User Input'!B8,"None selected")</f>
        <v>NG</v>
      </c>
      <c r="E7" s="44"/>
      <c r="G7" s="29"/>
      <c r="H7" s="51"/>
      <c r="I7" s="234" t="s">
        <v>74</v>
      </c>
      <c r="J7" s="234"/>
      <c r="K7" s="68">
        <v>1.06</v>
      </c>
    </row>
    <row r="8" spans="1:15" ht="13.5" customHeight="1" x14ac:dyDescent="0.25">
      <c r="C8" s="89" t="s">
        <v>36</v>
      </c>
      <c r="D8" s="64">
        <f>'User Input'!B13</f>
        <v>45383</v>
      </c>
      <c r="G8" s="29"/>
      <c r="H8" s="51"/>
      <c r="I8" s="232"/>
      <c r="J8" s="232"/>
      <c r="K8" s="232"/>
      <c r="L8" s="233"/>
      <c r="M8" s="233"/>
      <c r="N8" s="30"/>
    </row>
    <row r="9" spans="1:15" ht="13.5" customHeight="1" x14ac:dyDescent="0.25">
      <c r="C9" s="89" t="s">
        <v>37</v>
      </c>
      <c r="D9" s="65">
        <f>IF('User Input'!B9&lt;&gt;0,YEAR('User Input'!B9)+(MONTH('User Input'!B9)&gt;=4)-1,0)</f>
        <v>2024</v>
      </c>
      <c r="H9" s="45"/>
      <c r="I9" s="232"/>
      <c r="J9" s="232"/>
      <c r="K9" s="232"/>
      <c r="L9" s="233"/>
      <c r="M9" s="233"/>
    </row>
    <row r="10" spans="1:15" ht="13.5" customHeight="1" x14ac:dyDescent="0.25">
      <c r="C10" s="89" t="s">
        <v>84</v>
      </c>
      <c r="D10" s="66" t="str">
        <f>'User Input'!B11</f>
        <v>Yes</v>
      </c>
      <c r="E10" s="44"/>
      <c r="H10" s="45"/>
      <c r="I10" s="228" t="s">
        <v>12</v>
      </c>
      <c r="J10" s="91"/>
      <c r="K10" s="228" t="s">
        <v>11</v>
      </c>
      <c r="L10" s="228" t="s">
        <v>10</v>
      </c>
      <c r="M10" s="92"/>
    </row>
    <row r="11" spans="1:15" ht="13.5" customHeight="1" x14ac:dyDescent="0.25">
      <c r="C11" s="90" t="s">
        <v>75</v>
      </c>
      <c r="D11" s="67" t="str">
        <f>'User Input'!B12</f>
        <v>On Completion</v>
      </c>
      <c r="E11" s="44"/>
      <c r="H11" s="31"/>
      <c r="I11" s="228"/>
      <c r="J11" s="38"/>
      <c r="K11" s="228"/>
      <c r="L11" s="228"/>
    </row>
    <row r="12" spans="1:15" ht="13.5" customHeight="1" x14ac:dyDescent="0.25">
      <c r="E12" s="34"/>
      <c r="I12" s="228"/>
      <c r="J12" s="1"/>
      <c r="K12" s="228"/>
      <c r="L12" s="228"/>
      <c r="M12" s="1"/>
    </row>
    <row r="13" spans="1:15" ht="20" x14ac:dyDescent="0.25">
      <c r="B13" s="240" t="s">
        <v>134</v>
      </c>
      <c r="C13" s="240"/>
      <c r="D13" s="69"/>
      <c r="E13" s="30"/>
      <c r="F13" s="30"/>
      <c r="G13" s="30"/>
      <c r="H13" s="30"/>
      <c r="I13" s="16">
        <f>IF(D9&lt;=2020,"6%",VLOOKUP(D7&amp;D9,Data!C:D,2,FALSE))</f>
        <v>4.2799999999999998E-2</v>
      </c>
      <c r="J13" s="30"/>
      <c r="K13" s="16">
        <f>IFERROR(VLOOKUP('Offer Verification'!D9,Data!F:I,3,FALSE),0)</f>
        <v>3.8E-3</v>
      </c>
      <c r="L13" s="16">
        <f>IFERROR(VLOOKUP('Offer Verification'!D9,Data!F:I,4,FALSE),0)</f>
        <v>1.06E-2</v>
      </c>
      <c r="M13" s="30"/>
      <c r="N13" s="30"/>
    </row>
    <row r="14" spans="1:15" s="34" customFormat="1" x14ac:dyDescent="0.25">
      <c r="A14" s="36"/>
      <c r="B14" s="36"/>
      <c r="C14" s="70" t="s">
        <v>6</v>
      </c>
      <c r="D14" s="70" t="s">
        <v>45</v>
      </c>
      <c r="E14" s="70" t="s">
        <v>5</v>
      </c>
      <c r="F14" s="70" t="s">
        <v>9</v>
      </c>
      <c r="G14" s="70" t="s">
        <v>7</v>
      </c>
      <c r="H14" s="70" t="s">
        <v>1</v>
      </c>
      <c r="I14" s="70" t="s">
        <v>0</v>
      </c>
      <c r="J14" s="70" t="s">
        <v>5</v>
      </c>
      <c r="K14" s="70" t="s">
        <v>3</v>
      </c>
      <c r="L14" s="70" t="s">
        <v>2</v>
      </c>
      <c r="M14" s="70" t="s">
        <v>4</v>
      </c>
      <c r="N14" s="70" t="s">
        <v>13</v>
      </c>
      <c r="O14" s="36"/>
    </row>
    <row r="15" spans="1:15" s="34" customFormat="1" ht="12.5" x14ac:dyDescent="0.25">
      <c r="A15" s="226" t="str">
        <f>IF($D$10="No","Your Offer","")</f>
        <v/>
      </c>
      <c r="B15" s="226"/>
      <c r="C15" s="83" t="s">
        <v>30</v>
      </c>
      <c r="D15" s="80">
        <v>0.5</v>
      </c>
      <c r="E15" s="80">
        <f>'User Input'!B18</f>
        <v>40</v>
      </c>
      <c r="F15" s="81">
        <f>'GAV Transformation'!C39</f>
        <v>13000000</v>
      </c>
      <c r="G15" s="81">
        <f>F15</f>
        <v>13000000</v>
      </c>
      <c r="H15" s="82">
        <f>IF(D15&gt;E15,0,F15*(E15-D15)/E15)</f>
        <v>12837500</v>
      </c>
      <c r="I15" s="82">
        <f>IF($D$10="Yes",0,IF(D15&gt;E15,0,H15*$I$13))</f>
        <v>0</v>
      </c>
      <c r="J15" s="82">
        <f>IF($D$10="Yes",0,IF(D15&gt;E15,0,F15*1/E15))</f>
        <v>0</v>
      </c>
      <c r="K15" s="82">
        <f t="shared" ref="K15:K20" si="0">G15*$K$13</f>
        <v>49400</v>
      </c>
      <c r="L15" s="82">
        <f t="shared" ref="L15:L20" si="1">F15*$L$13</f>
        <v>137800</v>
      </c>
      <c r="M15" s="82">
        <f>SUM(I15:L15)</f>
        <v>187200</v>
      </c>
      <c r="N15" s="235">
        <f>M15+M16</f>
        <v>187200</v>
      </c>
      <c r="O15" s="36"/>
    </row>
    <row r="16" spans="1:15" s="34" customFormat="1" ht="12.5" x14ac:dyDescent="0.25">
      <c r="A16" s="226" t="str">
        <f>IF($D$10="No","Your Offer","")</f>
        <v/>
      </c>
      <c r="B16" s="226"/>
      <c r="C16" s="84" t="s">
        <v>31</v>
      </c>
      <c r="D16" s="77">
        <v>0.5</v>
      </c>
      <c r="E16" s="77">
        <f>'User Input'!B19</f>
        <v>0</v>
      </c>
      <c r="F16" s="78">
        <f>'GAV Transformation'!C40</f>
        <v>0</v>
      </c>
      <c r="G16" s="78">
        <f t="shared" ref="G16:G20" si="2">F16</f>
        <v>0</v>
      </c>
      <c r="H16" s="79">
        <f t="shared" ref="H16:H20" si="3">IF(D16&gt;E16,0,F16*(E16-D16)/E16)</f>
        <v>0</v>
      </c>
      <c r="I16" s="79">
        <f>IF($D$10="Yes",0,IF(D16&gt;E16,0,H16*$I$13))</f>
        <v>0</v>
      </c>
      <c r="J16" s="79">
        <f>IF($D$10="Yes",0,IF(D16&gt;E16,0,F16*1/E16))</f>
        <v>0</v>
      </c>
      <c r="K16" s="79">
        <f>G16*$K$13</f>
        <v>0</v>
      </c>
      <c r="L16" s="79">
        <f t="shared" si="1"/>
        <v>0</v>
      </c>
      <c r="M16" s="79">
        <f t="shared" ref="M16:M20" si="4">SUM(I16:L16)</f>
        <v>0</v>
      </c>
      <c r="N16" s="236"/>
      <c r="O16" s="36"/>
    </row>
    <row r="17" spans="1:21" s="34" customFormat="1" ht="12.5" x14ac:dyDescent="0.25">
      <c r="A17" s="226" t="str">
        <f>IF($D$11="On Completion","Your Offer","")</f>
        <v>Your Offer</v>
      </c>
      <c r="B17" s="226"/>
      <c r="C17" s="85" t="s">
        <v>32</v>
      </c>
      <c r="D17" s="74">
        <v>0.5</v>
      </c>
      <c r="E17" s="74">
        <f>'User Input'!B18</f>
        <v>40</v>
      </c>
      <c r="F17" s="75">
        <f>'GAV Transformation'!C41</f>
        <v>13000000</v>
      </c>
      <c r="G17" s="75">
        <f t="shared" si="2"/>
        <v>13000000</v>
      </c>
      <c r="H17" s="76">
        <f>IF(D17&gt;E17,0,F17*(E17-D17)/E17)</f>
        <v>12837500</v>
      </c>
      <c r="I17" s="76"/>
      <c r="J17" s="76"/>
      <c r="K17" s="76">
        <f t="shared" si="0"/>
        <v>49400</v>
      </c>
      <c r="L17" s="76">
        <f t="shared" si="1"/>
        <v>137800</v>
      </c>
      <c r="M17" s="76">
        <f t="shared" si="4"/>
        <v>187200</v>
      </c>
      <c r="N17" s="237">
        <f>M17+M18</f>
        <v>187200</v>
      </c>
      <c r="O17" s="36"/>
    </row>
    <row r="18" spans="1:21" s="34" customFormat="1" ht="12.5" x14ac:dyDescent="0.25">
      <c r="A18" s="226" t="str">
        <f>IF($D$11="On Completion","Your Offer","")</f>
        <v>Your Offer</v>
      </c>
      <c r="B18" s="226"/>
      <c r="C18" s="84" t="s">
        <v>33</v>
      </c>
      <c r="D18" s="77">
        <v>0.5</v>
      </c>
      <c r="E18" s="77">
        <f>'User Input'!B19</f>
        <v>0</v>
      </c>
      <c r="F18" s="78">
        <f>'GAV Transformation'!C42</f>
        <v>0</v>
      </c>
      <c r="G18" s="78">
        <f t="shared" si="2"/>
        <v>0</v>
      </c>
      <c r="H18" s="79">
        <f t="shared" si="3"/>
        <v>0</v>
      </c>
      <c r="I18" s="79"/>
      <c r="J18" s="79"/>
      <c r="K18" s="79">
        <f t="shared" si="0"/>
        <v>0</v>
      </c>
      <c r="L18" s="79">
        <f t="shared" si="1"/>
        <v>0</v>
      </c>
      <c r="M18" s="79">
        <f t="shared" si="4"/>
        <v>0</v>
      </c>
      <c r="N18" s="236"/>
      <c r="O18" s="36"/>
    </row>
    <row r="19" spans="1:21" ht="12.5" x14ac:dyDescent="0.25">
      <c r="A19" s="226" t="str">
        <f>IF($D$11="During Construction","Your Offer","")</f>
        <v/>
      </c>
      <c r="B19" s="226"/>
      <c r="C19" s="86" t="s">
        <v>34</v>
      </c>
      <c r="D19" s="26">
        <v>0.5</v>
      </c>
      <c r="E19" s="26">
        <f>'User Input'!B18</f>
        <v>40</v>
      </c>
      <c r="F19" s="41">
        <f>'GAV Transformation'!C32</f>
        <v>12264150.943396226</v>
      </c>
      <c r="G19" s="41">
        <f t="shared" si="2"/>
        <v>12264150.943396226</v>
      </c>
      <c r="H19" s="32">
        <f t="shared" si="3"/>
        <v>12110849.056603773</v>
      </c>
      <c r="I19" s="32"/>
      <c r="J19" s="32"/>
      <c r="K19" s="32">
        <f t="shared" si="0"/>
        <v>46603.773584905655</v>
      </c>
      <c r="L19" s="32">
        <f t="shared" si="1"/>
        <v>129999.99999999999</v>
      </c>
      <c r="M19" s="32">
        <f t="shared" si="4"/>
        <v>176603.77358490563</v>
      </c>
      <c r="N19" s="238">
        <f>M19+M20</f>
        <v>176603.77358490563</v>
      </c>
    </row>
    <row r="20" spans="1:21" ht="12.5" x14ac:dyDescent="0.25">
      <c r="A20" s="226" t="str">
        <f>IF($D$11="During Construction","Your Offer","")</f>
        <v/>
      </c>
      <c r="B20" s="226"/>
      <c r="C20" s="87" t="s">
        <v>35</v>
      </c>
      <c r="D20" s="71">
        <v>0.5</v>
      </c>
      <c r="E20" s="71">
        <f>'User Input'!B19</f>
        <v>0</v>
      </c>
      <c r="F20" s="72">
        <f>'GAV Transformation'!C33</f>
        <v>0</v>
      </c>
      <c r="G20" s="72">
        <f t="shared" si="2"/>
        <v>0</v>
      </c>
      <c r="H20" s="73">
        <f t="shared" si="3"/>
        <v>0</v>
      </c>
      <c r="I20" s="73"/>
      <c r="J20" s="73"/>
      <c r="K20" s="73">
        <f t="shared" si="0"/>
        <v>0</v>
      </c>
      <c r="L20" s="73">
        <f t="shared" si="1"/>
        <v>0</v>
      </c>
      <c r="M20" s="73">
        <f t="shared" si="4"/>
        <v>0</v>
      </c>
      <c r="N20" s="239"/>
    </row>
    <row r="21" spans="1:21" ht="13.5" customHeight="1" x14ac:dyDescent="0.25">
      <c r="C21" s="36"/>
      <c r="N21" s="36"/>
    </row>
    <row r="22" spans="1:21" ht="13.5" customHeight="1" thickBot="1" x14ac:dyDescent="0.3">
      <c r="C22" s="94"/>
      <c r="D22" s="94"/>
      <c r="E22" s="94"/>
      <c r="F22" s="94"/>
      <c r="G22" s="94"/>
      <c r="H22" s="94"/>
      <c r="I22" s="94"/>
      <c r="J22" s="94"/>
      <c r="K22" s="94"/>
      <c r="L22" s="94"/>
      <c r="M22" s="94"/>
      <c r="N22" s="94"/>
    </row>
    <row r="23" spans="1:21" ht="13.5" customHeight="1" x14ac:dyDescent="0.25">
      <c r="C23" s="229" t="s">
        <v>147</v>
      </c>
      <c r="D23" s="229"/>
      <c r="E23" s="229"/>
      <c r="F23" s="229"/>
      <c r="G23" s="229"/>
      <c r="H23" s="229"/>
      <c r="I23" s="229"/>
      <c r="J23" s="229"/>
      <c r="K23" s="229"/>
      <c r="L23" s="229"/>
      <c r="M23" s="95"/>
      <c r="N23" s="36"/>
    </row>
    <row r="24" spans="1:21" ht="13.5" customHeight="1" x14ac:dyDescent="0.25">
      <c r="C24" s="230"/>
      <c r="D24" s="230"/>
      <c r="E24" s="230"/>
      <c r="F24" s="230"/>
      <c r="G24" s="230"/>
      <c r="H24" s="230"/>
      <c r="I24" s="230"/>
      <c r="J24" s="230"/>
      <c r="K24" s="230"/>
      <c r="L24" s="230"/>
      <c r="M24" s="95"/>
    </row>
    <row r="25" spans="1:21" ht="13.5" customHeight="1" x14ac:dyDescent="0.25">
      <c r="C25" s="230"/>
      <c r="D25" s="230"/>
      <c r="E25" s="230"/>
      <c r="F25" s="230"/>
      <c r="G25" s="230"/>
      <c r="H25" s="230"/>
      <c r="I25" s="230"/>
      <c r="J25" s="230"/>
      <c r="K25" s="230"/>
      <c r="L25" s="230"/>
      <c r="M25" s="95"/>
    </row>
    <row r="26" spans="1:21" ht="13.5" customHeight="1" x14ac:dyDescent="0.25">
      <c r="C26" s="231"/>
      <c r="D26" s="231"/>
      <c r="E26" s="231"/>
      <c r="F26" s="231"/>
      <c r="G26" s="231"/>
      <c r="H26" s="231"/>
      <c r="I26" s="231"/>
      <c r="J26" s="231"/>
      <c r="K26" s="231"/>
      <c r="L26" s="231"/>
      <c r="M26" s="95"/>
    </row>
    <row r="27" spans="1:21" ht="13.5" customHeight="1" x14ac:dyDescent="0.25">
      <c r="C27" s="224" t="s">
        <v>85</v>
      </c>
      <c r="D27" s="224"/>
      <c r="E27" s="224"/>
      <c r="F27" s="224"/>
      <c r="G27" s="224"/>
      <c r="H27" s="224"/>
      <c r="I27" s="224"/>
      <c r="J27" s="224"/>
      <c r="K27" s="109"/>
      <c r="L27" s="109"/>
    </row>
    <row r="28" spans="1:21" ht="13.5" customHeight="1" x14ac:dyDescent="0.25">
      <c r="C28" s="225"/>
      <c r="D28" s="225"/>
      <c r="E28" s="225"/>
      <c r="F28" s="225"/>
      <c r="G28" s="225"/>
      <c r="H28" s="225"/>
      <c r="I28" s="225"/>
      <c r="J28" s="225"/>
      <c r="K28" s="110"/>
      <c r="L28" s="110"/>
    </row>
    <row r="29" spans="1:21" ht="13.5" customHeight="1" x14ac:dyDescent="0.25">
      <c r="C29" s="243" t="s">
        <v>60</v>
      </c>
      <c r="D29" s="243"/>
      <c r="E29" s="96"/>
      <c r="F29" s="96"/>
      <c r="G29" s="96"/>
      <c r="H29" s="97"/>
      <c r="I29" s="96"/>
      <c r="J29" s="96"/>
      <c r="K29" s="96"/>
      <c r="L29" s="96"/>
    </row>
    <row r="30" spans="1:21" ht="13.5" customHeight="1" x14ac:dyDescent="0.25">
      <c r="C30" s="99" t="s">
        <v>92</v>
      </c>
      <c r="D30" s="99"/>
      <c r="E30" s="100" t="s">
        <v>61</v>
      </c>
      <c r="F30" s="244" t="s">
        <v>86</v>
      </c>
      <c r="G30" s="244"/>
      <c r="H30" s="244"/>
      <c r="I30" s="244"/>
      <c r="J30" s="244"/>
      <c r="K30" s="37"/>
      <c r="N30" s="36"/>
      <c r="R30" s="37"/>
      <c r="U30" s="36"/>
    </row>
    <row r="31" spans="1:21" ht="18" customHeight="1" x14ac:dyDescent="0.25">
      <c r="C31" s="101" t="s">
        <v>93</v>
      </c>
      <c r="D31" s="101"/>
      <c r="E31" s="102" t="s">
        <v>61</v>
      </c>
      <c r="F31" s="245" t="s">
        <v>102</v>
      </c>
      <c r="G31" s="245"/>
      <c r="H31" s="245"/>
      <c r="I31" s="245"/>
      <c r="J31" s="245"/>
      <c r="K31" s="37"/>
      <c r="N31" s="36"/>
      <c r="R31" s="37"/>
      <c r="U31" s="36"/>
    </row>
    <row r="32" spans="1:21" ht="18" customHeight="1" x14ac:dyDescent="0.25">
      <c r="C32" s="101" t="s">
        <v>94</v>
      </c>
      <c r="D32" s="101"/>
      <c r="E32" s="102" t="s">
        <v>61</v>
      </c>
      <c r="F32" s="245" t="s">
        <v>96</v>
      </c>
      <c r="G32" s="245"/>
      <c r="H32" s="245"/>
      <c r="I32" s="245"/>
      <c r="J32" s="245"/>
      <c r="K32" s="37"/>
      <c r="N32" s="36"/>
      <c r="R32" s="37"/>
      <c r="U32" s="36"/>
    </row>
    <row r="33" spans="3:21" ht="18" customHeight="1" x14ac:dyDescent="0.25">
      <c r="C33" s="101" t="s">
        <v>62</v>
      </c>
      <c r="D33" s="101"/>
      <c r="E33" s="102" t="s">
        <v>61</v>
      </c>
      <c r="F33" s="245" t="s">
        <v>97</v>
      </c>
      <c r="G33" s="245"/>
      <c r="H33" s="245"/>
      <c r="I33" s="245"/>
      <c r="J33" s="245"/>
      <c r="K33" s="37"/>
      <c r="N33" s="36"/>
      <c r="R33" s="37"/>
      <c r="U33" s="36"/>
    </row>
    <row r="34" spans="3:21" ht="18" customHeight="1" x14ac:dyDescent="0.25">
      <c r="C34" s="103" t="s">
        <v>63</v>
      </c>
      <c r="D34" s="103"/>
      <c r="E34" s="102" t="s">
        <v>61</v>
      </c>
      <c r="F34" s="245" t="s">
        <v>89</v>
      </c>
      <c r="G34" s="245"/>
      <c r="H34" s="245"/>
      <c r="I34" s="245"/>
      <c r="J34" s="245"/>
      <c r="K34" s="37"/>
      <c r="N34" s="36"/>
      <c r="R34" s="37"/>
      <c r="U34" s="36"/>
    </row>
    <row r="35" spans="3:21" ht="17.5" x14ac:dyDescent="0.25">
      <c r="C35" s="248" t="s">
        <v>98</v>
      </c>
      <c r="D35" s="103"/>
      <c r="E35" s="102" t="s">
        <v>61</v>
      </c>
      <c r="F35" s="245" t="s">
        <v>90</v>
      </c>
      <c r="G35" s="246"/>
      <c r="H35" s="246"/>
      <c r="I35" s="246"/>
      <c r="J35" s="246"/>
      <c r="K35" s="37"/>
      <c r="N35" s="36"/>
      <c r="R35" s="37"/>
      <c r="U35" s="36"/>
    </row>
    <row r="36" spans="3:21" ht="17.5" x14ac:dyDescent="0.25">
      <c r="C36" s="249"/>
      <c r="D36" s="103"/>
      <c r="E36" s="102" t="s">
        <v>61</v>
      </c>
      <c r="F36" s="246" t="s">
        <v>91</v>
      </c>
      <c r="G36" s="246"/>
      <c r="H36" s="246"/>
      <c r="I36" s="246"/>
      <c r="J36" s="246"/>
      <c r="K36" s="37"/>
      <c r="N36" s="36"/>
      <c r="R36" s="37"/>
      <c r="U36" s="36"/>
    </row>
    <row r="37" spans="3:21" ht="62.25" customHeight="1" x14ac:dyDescent="0.25">
      <c r="C37" s="103" t="s">
        <v>64</v>
      </c>
      <c r="D37" s="103"/>
      <c r="E37" s="102" t="s">
        <v>61</v>
      </c>
      <c r="F37" s="245" t="s">
        <v>87</v>
      </c>
      <c r="G37" s="245"/>
      <c r="H37" s="245"/>
      <c r="I37" s="245"/>
      <c r="J37" s="245"/>
      <c r="K37" s="37"/>
      <c r="N37" s="36"/>
      <c r="R37" s="37"/>
      <c r="U37" s="36"/>
    </row>
    <row r="38" spans="3:21" ht="18" customHeight="1" x14ac:dyDescent="0.25">
      <c r="C38" s="103" t="s">
        <v>65</v>
      </c>
      <c r="D38" s="103"/>
      <c r="E38" s="104" t="s">
        <v>61</v>
      </c>
      <c r="F38" s="245" t="s">
        <v>66</v>
      </c>
      <c r="G38" s="245"/>
      <c r="H38" s="245"/>
      <c r="I38" s="245"/>
      <c r="J38" s="245"/>
      <c r="K38" s="37"/>
      <c r="N38" s="36"/>
      <c r="R38" s="37"/>
      <c r="U38" s="36"/>
    </row>
    <row r="39" spans="3:21" ht="36.75" customHeight="1" x14ac:dyDescent="0.25">
      <c r="C39" s="103" t="s">
        <v>99</v>
      </c>
      <c r="D39" s="102"/>
      <c r="E39" s="104" t="s">
        <v>61</v>
      </c>
      <c r="F39" s="245" t="s">
        <v>88</v>
      </c>
      <c r="G39" s="245"/>
      <c r="H39" s="245"/>
      <c r="I39" s="245"/>
      <c r="J39" s="245"/>
      <c r="K39" s="37"/>
      <c r="N39" s="36"/>
      <c r="R39" s="37"/>
      <c r="U39" s="36"/>
    </row>
    <row r="40" spans="3:21" ht="18" customHeight="1" x14ac:dyDescent="0.25">
      <c r="C40" s="105" t="s">
        <v>100</v>
      </c>
      <c r="D40" s="102"/>
      <c r="E40" s="102" t="s">
        <v>61</v>
      </c>
      <c r="F40" s="245" t="s">
        <v>95</v>
      </c>
      <c r="G40" s="245"/>
      <c r="H40" s="245"/>
      <c r="I40" s="245"/>
      <c r="J40" s="245"/>
      <c r="K40" s="37"/>
      <c r="N40" s="36"/>
      <c r="R40" s="37"/>
      <c r="U40" s="36"/>
    </row>
    <row r="41" spans="3:21" ht="18" customHeight="1" x14ac:dyDescent="0.25">
      <c r="C41" s="106" t="s">
        <v>101</v>
      </c>
      <c r="D41" s="107"/>
      <c r="E41" s="108" t="s">
        <v>61</v>
      </c>
      <c r="F41" s="247" t="s">
        <v>67</v>
      </c>
      <c r="G41" s="247"/>
      <c r="H41" s="247"/>
      <c r="I41" s="247"/>
      <c r="J41" s="247"/>
      <c r="K41" s="37"/>
      <c r="N41" s="36"/>
      <c r="R41" s="37"/>
      <c r="U41" s="36"/>
    </row>
    <row r="42" spans="3:21" ht="12.5" x14ac:dyDescent="0.25">
      <c r="C42" s="242" t="s">
        <v>68</v>
      </c>
      <c r="D42" s="242"/>
      <c r="E42" s="242"/>
      <c r="F42" s="242"/>
      <c r="G42" s="242"/>
      <c r="H42" s="242"/>
      <c r="I42" s="242"/>
      <c r="J42" s="242"/>
      <c r="K42" s="242"/>
      <c r="L42" s="242"/>
    </row>
    <row r="43" spans="3:21" ht="12.5" x14ac:dyDescent="0.25">
      <c r="C43" s="242"/>
      <c r="D43" s="242"/>
      <c r="E43" s="242"/>
      <c r="F43" s="242"/>
      <c r="G43" s="242"/>
      <c r="H43" s="242"/>
      <c r="I43" s="242"/>
      <c r="J43" s="242"/>
      <c r="K43" s="242"/>
      <c r="L43" s="242"/>
    </row>
    <row r="44" spans="3:21" ht="12.5" x14ac:dyDescent="0.25">
      <c r="C44" s="242"/>
      <c r="D44" s="242"/>
      <c r="E44" s="242"/>
      <c r="F44" s="242"/>
      <c r="G44" s="242"/>
      <c r="H44" s="242"/>
      <c r="I44" s="242"/>
      <c r="J44" s="242"/>
      <c r="K44" s="242"/>
      <c r="L44" s="242"/>
    </row>
    <row r="45" spans="3:21" ht="12.5" x14ac:dyDescent="0.25">
      <c r="C45" s="241" t="s">
        <v>69</v>
      </c>
      <c r="D45" s="241"/>
      <c r="E45" s="241"/>
      <c r="F45" s="241"/>
      <c r="G45" s="241"/>
      <c r="H45" s="241"/>
      <c r="I45" s="241"/>
      <c r="J45" s="241"/>
      <c r="K45" s="241"/>
      <c r="L45" s="241"/>
    </row>
    <row r="46" spans="3:21" ht="12.5" x14ac:dyDescent="0.25">
      <c r="C46" s="241"/>
      <c r="D46" s="241"/>
      <c r="E46" s="241"/>
      <c r="F46" s="241"/>
      <c r="G46" s="241"/>
      <c r="H46" s="241"/>
      <c r="I46" s="241"/>
      <c r="J46" s="241"/>
      <c r="K46" s="241"/>
      <c r="L46" s="241"/>
    </row>
    <row r="47" spans="3:21" x14ac:dyDescent="0.25">
      <c r="C47" s="98" t="s">
        <v>70</v>
      </c>
      <c r="H47" s="37"/>
    </row>
  </sheetData>
  <mergeCells count="37">
    <mergeCell ref="C45:L46"/>
    <mergeCell ref="C42:L44"/>
    <mergeCell ref="C29:D29"/>
    <mergeCell ref="F30:J30"/>
    <mergeCell ref="F31:J31"/>
    <mergeCell ref="F32:J32"/>
    <mergeCell ref="F33:J33"/>
    <mergeCell ref="F34:J34"/>
    <mergeCell ref="F35:J35"/>
    <mergeCell ref="F36:J36"/>
    <mergeCell ref="F37:J37"/>
    <mergeCell ref="F38:J38"/>
    <mergeCell ref="F39:J39"/>
    <mergeCell ref="F40:J40"/>
    <mergeCell ref="F41:J41"/>
    <mergeCell ref="C35:C36"/>
    <mergeCell ref="E1:O4"/>
    <mergeCell ref="I10:I12"/>
    <mergeCell ref="K10:K12"/>
    <mergeCell ref="L10:L12"/>
    <mergeCell ref="C23:L26"/>
    <mergeCell ref="I9:K9"/>
    <mergeCell ref="L9:M9"/>
    <mergeCell ref="L8:M8"/>
    <mergeCell ref="I8:K8"/>
    <mergeCell ref="I7:J7"/>
    <mergeCell ref="N15:N16"/>
    <mergeCell ref="N17:N18"/>
    <mergeCell ref="N19:N20"/>
    <mergeCell ref="B13:C13"/>
    <mergeCell ref="A20:B20"/>
    <mergeCell ref="C27:J28"/>
    <mergeCell ref="A15:B15"/>
    <mergeCell ref="A16:B16"/>
    <mergeCell ref="A17:B17"/>
    <mergeCell ref="A18:B18"/>
    <mergeCell ref="A19:B19"/>
  </mergeCells>
  <conditionalFormatting sqref="I7:K7">
    <cfRule type="expression" dxfId="4" priority="3">
      <formula>$D$7="SHETL"</formula>
    </cfRule>
    <cfRule type="expression" dxfId="3" priority="4">
      <formula>$D$7="SPT"</formula>
    </cfRule>
  </conditionalFormatting>
  <conditionalFormatting sqref="A15:B20">
    <cfRule type="expression" dxfId="2" priority="1">
      <formula>$A15:$B15="Your Offer"</formula>
    </cfRule>
  </conditionalFormatting>
  <printOptions horizontalCentered="1" verticalCentered="1"/>
  <pageMargins left="0.19685039370078741" right="0.19685039370078741" top="0.23622047244094491" bottom="0.23622047244094491" header="0.19685039370078741" footer="0.19685039370078741"/>
  <pageSetup paperSize="8" scale="68"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7030A0"/>
    <pageSetUpPr fitToPage="1"/>
  </sheetPr>
  <dimension ref="A1:AF471"/>
  <sheetViews>
    <sheetView showGridLines="0" zoomScale="80" zoomScaleNormal="80" workbookViewId="0">
      <selection activeCell="B269" sqref="B269:K272"/>
    </sheetView>
  </sheetViews>
  <sheetFormatPr defaultColWidth="0" defaultRowHeight="13" zeroHeight="1" x14ac:dyDescent="0.25"/>
  <cols>
    <col min="1" max="1" width="20.453125" style="22" bestFit="1" customWidth="1"/>
    <col min="2" max="2" width="39.54296875" style="3" customWidth="1"/>
    <col min="3" max="3" width="13.453125" style="35" customWidth="1"/>
    <col min="4" max="4" width="6.453125" style="35" bestFit="1" customWidth="1"/>
    <col min="5" max="6" width="15.453125" style="35" customWidth="1"/>
    <col min="7" max="7" width="13.54296875" style="35" bestFit="1" customWidth="1"/>
    <col min="8" max="8" width="17.453125" style="35" customWidth="1"/>
    <col min="9" max="9" width="17.54296875" style="35" customWidth="1"/>
    <col min="10" max="10" width="20.453125" style="35" customWidth="1"/>
    <col min="11" max="11" width="17.54296875" style="35" customWidth="1"/>
    <col min="12" max="13" width="17" style="35" customWidth="1"/>
    <col min="14" max="14" width="4.453125" style="19" customWidth="1"/>
    <col min="15" max="15" width="20" style="34" bestFit="1" customWidth="1"/>
    <col min="16" max="16" width="20" style="34" customWidth="1"/>
    <col min="17" max="17" width="9.453125" style="35" bestFit="1" customWidth="1"/>
    <col min="18" max="18" width="12.453125" style="35" customWidth="1"/>
    <col min="19" max="19" width="14.54296875" style="35" bestFit="1" customWidth="1"/>
    <col min="20" max="20" width="9.453125" style="36" customWidth="1"/>
    <col min="21" max="31" width="9.453125" style="36" hidden="1" customWidth="1"/>
    <col min="32" max="32" width="0" style="36" hidden="1" customWidth="1"/>
    <col min="33" max="16384" width="9.453125" style="36" hidden="1"/>
  </cols>
  <sheetData>
    <row r="1" spans="1:21" ht="12.75" customHeight="1" x14ac:dyDescent="0.25">
      <c r="D1" s="227" t="s">
        <v>148</v>
      </c>
      <c r="E1" s="227"/>
      <c r="F1" s="227"/>
      <c r="G1" s="227"/>
      <c r="H1" s="227"/>
      <c r="I1" s="227"/>
      <c r="J1" s="227"/>
      <c r="K1" s="227"/>
      <c r="L1" s="227"/>
      <c r="M1" s="227"/>
      <c r="N1" s="227"/>
    </row>
    <row r="2" spans="1:21" x14ac:dyDescent="0.25">
      <c r="D2" s="227"/>
      <c r="E2" s="227"/>
      <c r="F2" s="227"/>
      <c r="G2" s="227"/>
      <c r="H2" s="227"/>
      <c r="I2" s="227"/>
      <c r="J2" s="227"/>
      <c r="K2" s="227"/>
      <c r="L2" s="227"/>
      <c r="M2" s="227"/>
      <c r="N2" s="227"/>
    </row>
    <row r="3" spans="1:21" x14ac:dyDescent="0.25">
      <c r="D3" s="227"/>
      <c r="E3" s="227"/>
      <c r="F3" s="227"/>
      <c r="G3" s="227"/>
      <c r="H3" s="227"/>
      <c r="I3" s="227"/>
      <c r="J3" s="227"/>
      <c r="K3" s="227"/>
      <c r="L3" s="227"/>
      <c r="M3" s="227"/>
      <c r="N3" s="227"/>
    </row>
    <row r="4" spans="1:21" x14ac:dyDescent="0.25">
      <c r="D4" s="227"/>
      <c r="E4" s="227"/>
      <c r="F4" s="227"/>
      <c r="G4" s="227"/>
      <c r="H4" s="227"/>
      <c r="I4" s="227"/>
      <c r="J4" s="227"/>
      <c r="K4" s="227"/>
      <c r="L4" s="227"/>
      <c r="M4" s="227"/>
      <c r="N4" s="227"/>
    </row>
    <row r="5" spans="1:21" x14ac:dyDescent="0.25"/>
    <row r="6" spans="1:21" ht="12.5" x14ac:dyDescent="0.25">
      <c r="A6" s="19"/>
      <c r="B6" s="88" t="s">
        <v>19</v>
      </c>
      <c r="C6" s="63" t="str">
        <f>IF('User Input'!B8=0,"None selected",'User Input'!B8)</f>
        <v>NG</v>
      </c>
      <c r="D6" s="37"/>
      <c r="E6" s="37"/>
      <c r="F6" s="37"/>
      <c r="G6" s="30"/>
      <c r="H6" s="30"/>
      <c r="I6" s="37"/>
      <c r="J6" s="37"/>
      <c r="K6" s="37"/>
      <c r="L6" s="37"/>
      <c r="M6" s="37"/>
      <c r="O6" s="36"/>
      <c r="P6" s="36"/>
      <c r="Q6" s="37"/>
      <c r="R6" s="37"/>
      <c r="S6" s="37"/>
    </row>
    <row r="7" spans="1:21" ht="12.75" customHeight="1" x14ac:dyDescent="0.25">
      <c r="A7" s="19"/>
      <c r="B7" s="89" t="s">
        <v>43</v>
      </c>
      <c r="C7" s="64">
        <f>'User Input'!B13</f>
        <v>45383</v>
      </c>
      <c r="D7" s="37"/>
      <c r="E7" s="37"/>
      <c r="F7" s="37"/>
      <c r="G7" s="253"/>
      <c r="H7" s="253"/>
      <c r="J7" s="37"/>
      <c r="K7" s="37"/>
      <c r="L7" s="37"/>
      <c r="M7" s="37"/>
      <c r="O7" s="36"/>
      <c r="P7" s="36"/>
      <c r="Q7" s="37"/>
      <c r="R7" s="37"/>
      <c r="S7" s="37"/>
      <c r="U7" s="49"/>
    </row>
    <row r="8" spans="1:21" ht="12.75" customHeight="1" x14ac:dyDescent="0.25">
      <c r="A8" s="19"/>
      <c r="B8" s="89" t="s">
        <v>50</v>
      </c>
      <c r="C8" s="65">
        <f>IF(C7&lt;&gt;0,YEAR(C7)+(MONTH(C7)&gt;=4)-1,0)</f>
        <v>2024</v>
      </c>
      <c r="D8" s="37"/>
      <c r="E8" s="37"/>
      <c r="F8" s="37"/>
      <c r="G8" s="37"/>
      <c r="H8" s="37"/>
      <c r="I8" s="37"/>
      <c r="J8" s="37"/>
      <c r="K8" s="37"/>
      <c r="L8" s="37"/>
      <c r="M8" s="37"/>
      <c r="O8" s="36"/>
      <c r="P8" s="36"/>
      <c r="Q8" s="37"/>
      <c r="R8" s="37"/>
      <c r="S8" s="37"/>
      <c r="U8" s="49"/>
    </row>
    <row r="9" spans="1:21" ht="13.5" customHeight="1" x14ac:dyDescent="0.25">
      <c r="A9" s="19"/>
      <c r="B9" s="89" t="s">
        <v>41</v>
      </c>
      <c r="C9" s="133">
        <f>'User Input'!B14</f>
        <v>47057</v>
      </c>
      <c r="D9" s="37"/>
      <c r="E9" s="37"/>
      <c r="F9" s="37"/>
      <c r="G9" s="37"/>
      <c r="H9" s="37"/>
      <c r="I9" s="39">
        <f>MAX('User Input'!B18:B19)</f>
        <v>40</v>
      </c>
      <c r="J9" s="37"/>
      <c r="K9" s="37"/>
      <c r="L9" s="37"/>
      <c r="M9" s="37"/>
      <c r="O9" s="36"/>
      <c r="P9" s="36"/>
      <c r="Q9" s="37"/>
      <c r="R9" s="37"/>
      <c r="S9" s="37"/>
      <c r="U9" s="49"/>
    </row>
    <row r="10" spans="1:21" ht="17.5" x14ac:dyDescent="0.25">
      <c r="A10" s="19"/>
      <c r="B10" s="89" t="s">
        <v>42</v>
      </c>
      <c r="C10" s="65">
        <f>IF(C9&lt;&gt;0,YEAR(C9)+(MONTH(C9)&gt;=4)-1,0)</f>
        <v>2028</v>
      </c>
      <c r="D10" s="37"/>
      <c r="E10" s="37"/>
      <c r="F10" s="37"/>
      <c r="G10" s="252"/>
      <c r="H10" s="252"/>
      <c r="I10" s="252"/>
      <c r="J10" s="37"/>
      <c r="K10" s="37"/>
      <c r="L10" s="37"/>
      <c r="M10" s="37"/>
      <c r="O10" s="36"/>
      <c r="P10" s="36"/>
      <c r="Q10" s="37"/>
      <c r="R10" s="37"/>
      <c r="S10" s="37"/>
      <c r="U10" s="49"/>
    </row>
    <row r="11" spans="1:21" ht="17.5" x14ac:dyDescent="0.25">
      <c r="A11" s="19"/>
      <c r="B11" s="89" t="s">
        <v>23</v>
      </c>
      <c r="C11" s="65">
        <v>1.06</v>
      </c>
      <c r="D11" s="129"/>
      <c r="E11" s="129"/>
      <c r="F11" s="129"/>
      <c r="G11" s="252"/>
      <c r="H11" s="252"/>
      <c r="I11" s="252"/>
      <c r="J11" s="129"/>
      <c r="K11" s="129"/>
      <c r="L11" s="129"/>
      <c r="M11" s="129"/>
      <c r="O11" s="36"/>
      <c r="P11" s="36"/>
      <c r="Q11" s="129"/>
      <c r="R11" s="129"/>
      <c r="S11" s="129"/>
      <c r="U11" s="49"/>
    </row>
    <row r="12" spans="1:21" ht="17.5" x14ac:dyDescent="0.25">
      <c r="A12" s="19"/>
      <c r="B12" s="89" t="str">
        <f ca="1">_xlfn.CONCAT("Annual Inflation Assumed To Be After ",IF(TODAY()&lt;&gt;0,YEAR(TODAY())+(MONTH(TODAY())&gt;=4)-1,0))</f>
        <v>Annual Inflation Assumed To Be After 2024</v>
      </c>
      <c r="C12" s="65">
        <f>Data!G10</f>
        <v>1.0865</v>
      </c>
      <c r="D12" s="129"/>
      <c r="E12" s="129"/>
      <c r="F12" s="129"/>
      <c r="G12" s="252"/>
      <c r="H12" s="252"/>
      <c r="I12" s="252"/>
      <c r="J12" s="129"/>
      <c r="K12" s="129"/>
      <c r="L12" s="129"/>
      <c r="M12" s="129"/>
      <c r="O12" s="36"/>
      <c r="P12" s="36"/>
      <c r="Q12" s="129"/>
      <c r="R12" s="129"/>
      <c r="S12" s="129"/>
      <c r="U12" s="49"/>
    </row>
    <row r="13" spans="1:21" ht="14.15" customHeight="1" x14ac:dyDescent="0.25">
      <c r="A13" s="19"/>
      <c r="B13" s="36" t="s">
        <v>104</v>
      </c>
      <c r="C13" s="139" t="str">
        <f>'User Input'!$B$11</f>
        <v>Yes</v>
      </c>
      <c r="D13" s="37"/>
      <c r="E13" s="37"/>
      <c r="F13" s="36"/>
      <c r="G13" s="252"/>
      <c r="H13" s="252"/>
      <c r="I13" s="252"/>
      <c r="J13" s="36"/>
      <c r="K13" s="36"/>
      <c r="L13" s="40"/>
      <c r="M13" s="37"/>
      <c r="O13" s="36"/>
      <c r="P13" s="36"/>
      <c r="Q13" s="37"/>
      <c r="R13" s="37"/>
      <c r="S13" s="37"/>
      <c r="U13" s="49"/>
    </row>
    <row r="14" spans="1:21" ht="14.15" customHeight="1" x14ac:dyDescent="0.25">
      <c r="A14" s="19"/>
      <c r="B14" s="140"/>
      <c r="C14" s="141"/>
      <c r="D14" s="129"/>
      <c r="E14" s="129"/>
      <c r="F14" s="36"/>
      <c r="G14" s="132"/>
      <c r="H14" s="132"/>
      <c r="I14" s="132"/>
      <c r="J14" s="36"/>
      <c r="K14" s="36"/>
      <c r="L14" s="40"/>
      <c r="M14" s="129"/>
      <c r="O14" s="36"/>
      <c r="P14" s="36"/>
      <c r="Q14" s="129"/>
      <c r="R14" s="129"/>
      <c r="S14" s="129"/>
      <c r="U14" s="49"/>
    </row>
    <row r="15" spans="1:21" ht="13.5" customHeight="1" x14ac:dyDescent="0.25">
      <c r="A15" s="19"/>
      <c r="B15" s="193"/>
      <c r="C15" s="30"/>
      <c r="D15" s="37"/>
      <c r="E15" s="37"/>
      <c r="F15" s="37"/>
      <c r="G15" s="37"/>
      <c r="H15" s="37"/>
      <c r="I15" s="37"/>
      <c r="J15" s="37"/>
      <c r="K15" s="19"/>
      <c r="L15" s="36"/>
      <c r="M15" s="36"/>
      <c r="N15" s="37"/>
      <c r="O15" s="37"/>
      <c r="P15" s="37"/>
      <c r="Q15" s="36"/>
      <c r="R15" s="50"/>
      <c r="S15" s="50"/>
      <c r="T15" s="50"/>
    </row>
    <row r="16" spans="1:21" ht="23" x14ac:dyDescent="0.25">
      <c r="A16" s="19"/>
      <c r="B16" s="2"/>
      <c r="C16" s="37"/>
      <c r="D16" s="117"/>
      <c r="E16" s="192"/>
      <c r="F16" s="117"/>
      <c r="G16" s="117"/>
      <c r="H16" s="118" t="s">
        <v>12</v>
      </c>
      <c r="I16" s="119"/>
      <c r="J16" s="118" t="s">
        <v>11</v>
      </c>
      <c r="K16" s="118" t="s">
        <v>10</v>
      </c>
      <c r="L16" s="119"/>
      <c r="M16" s="40"/>
      <c r="O16" s="36"/>
      <c r="P16" s="36"/>
      <c r="Q16" s="37"/>
      <c r="R16" s="37"/>
      <c r="S16" s="37"/>
      <c r="U16" s="49"/>
    </row>
    <row r="17" spans="1:21" ht="20.25" customHeight="1" x14ac:dyDescent="0.25">
      <c r="A17" s="93" t="s">
        <v>8</v>
      </c>
      <c r="B17" s="111">
        <v>1</v>
      </c>
      <c r="C17" s="37"/>
      <c r="D17" s="117"/>
      <c r="E17" s="250" t="str">
        <f>_xlfn.CONCAT("GAV has been inflated from ",C8," to ",C10,"*")</f>
        <v>GAV has been inflated from 2024 to 2028*</v>
      </c>
      <c r="F17" s="250"/>
      <c r="G17" s="250"/>
      <c r="H17" s="121">
        <f>IF(C13="Yes",0,IF($C$10&lt;=2020,"6%",VLOOKUP($C$6&amp;$C$10,Data!$C:$D,2,FALSE)))</f>
        <v>0</v>
      </c>
      <c r="I17" s="117"/>
      <c r="J17" s="121">
        <f>VLOOKUP($C$10,Data!$F:$I,3,FALSE)</f>
        <v>3.8E-3</v>
      </c>
      <c r="K17" s="121">
        <f>VLOOKUP($C$10,Data!$F:$I,4,FALSE)</f>
        <v>1.06E-2</v>
      </c>
      <c r="L17" s="117"/>
      <c r="M17" s="37"/>
      <c r="O17" s="121" t="s">
        <v>53</v>
      </c>
      <c r="P17" s="121" t="s">
        <v>54</v>
      </c>
      <c r="Q17" s="122" t="s">
        <v>55</v>
      </c>
      <c r="R17" s="37"/>
      <c r="S17" s="37"/>
      <c r="U17" s="49"/>
    </row>
    <row r="18" spans="1:21" ht="12.75" customHeight="1" x14ac:dyDescent="0.25">
      <c r="A18" s="17"/>
      <c r="B18" s="70" t="s">
        <v>6</v>
      </c>
      <c r="C18" s="70">
        <f>C10</f>
        <v>2028</v>
      </c>
      <c r="D18" s="70" t="s">
        <v>5</v>
      </c>
      <c r="E18" s="70" t="s">
        <v>9</v>
      </c>
      <c r="F18" s="70" t="s">
        <v>7</v>
      </c>
      <c r="G18" s="70" t="s">
        <v>1</v>
      </c>
      <c r="H18" s="70" t="s">
        <v>0</v>
      </c>
      <c r="I18" s="70" t="s">
        <v>5</v>
      </c>
      <c r="J18" s="70" t="s">
        <v>3</v>
      </c>
      <c r="K18" s="70" t="s">
        <v>2</v>
      </c>
      <c r="L18" s="70" t="s">
        <v>4</v>
      </c>
      <c r="M18" s="70" t="s">
        <v>13</v>
      </c>
      <c r="N18" s="20"/>
      <c r="O18" s="70" t="s">
        <v>26</v>
      </c>
      <c r="P18" s="70" t="s">
        <v>26</v>
      </c>
      <c r="Q18" s="70" t="s">
        <v>27</v>
      </c>
      <c r="R18" s="70" t="s">
        <v>28</v>
      </c>
      <c r="S18" s="70" t="s">
        <v>29</v>
      </c>
      <c r="U18" s="49"/>
    </row>
    <row r="19" spans="1:21" ht="12.75" customHeight="1" x14ac:dyDescent="0.25">
      <c r="A19" s="17" t="str">
        <f>B19&amp;$B$17</f>
        <v>Cap Con on Completion Type 11</v>
      </c>
      <c r="B19" s="83" t="str">
        <f>Asset</f>
        <v>Cap Con on Completion Type 1</v>
      </c>
      <c r="C19" s="113">
        <v>0.5</v>
      </c>
      <c r="D19" s="115">
        <f>'User Input'!$B$18</f>
        <v>40</v>
      </c>
      <c r="E19" s="81">
        <f>HLOOKUP(C10,'GAV Transformation'!13:15,2,FALSE)</f>
        <v>16717782.10471512</v>
      </c>
      <c r="F19" s="81">
        <f>E19</f>
        <v>16717782.10471512</v>
      </c>
      <c r="G19" s="81">
        <f>IF($C$13="Yes",0,IF(C19&gt;D19,0,E19*(D19-C19)/D19))</f>
        <v>0</v>
      </c>
      <c r="H19" s="82">
        <f>IF(C19&gt;D19,0,G19*H17)</f>
        <v>0</v>
      </c>
      <c r="I19" s="82">
        <f>IF($C$13="Yes",0,IF(C19&gt;D19,0,E19*1/D19))</f>
        <v>0</v>
      </c>
      <c r="J19" s="82">
        <f>E19*J17</f>
        <v>63527.571997917454</v>
      </c>
      <c r="K19" s="82">
        <f>E19*K17</f>
        <v>177208.49030998026</v>
      </c>
      <c r="L19" s="82">
        <f t="shared" ref="L19:L20" si="0">SUM(H19:K19)</f>
        <v>240736.06230789772</v>
      </c>
      <c r="M19" s="82">
        <f>L19+L20</f>
        <v>240736.06230789772</v>
      </c>
      <c r="O19" s="82">
        <f>SUM(R19:S20)</f>
        <v>240736.06230789772</v>
      </c>
      <c r="P19" s="82">
        <f>SUM(S19:S20)/2+SUM(R19:R20)</f>
        <v>120368.03115394886</v>
      </c>
      <c r="Q19" s="123">
        <f>C19+0.5</f>
        <v>1</v>
      </c>
      <c r="R19" s="82">
        <f>IF($C$13="Yes",0,IF(Q19&gt;D19,0,E19*(D19-Q19)/D19))</f>
        <v>0</v>
      </c>
      <c r="S19" s="82">
        <f>L19</f>
        <v>240736.06230789772</v>
      </c>
      <c r="U19" s="49"/>
    </row>
    <row r="20" spans="1:21" ht="12.75" customHeight="1" x14ac:dyDescent="0.25">
      <c r="A20" s="17" t="str">
        <f>B20&amp;$B$17</f>
        <v>Cap Con on Completion Type 11</v>
      </c>
      <c r="B20" s="83" t="str">
        <f>Asset</f>
        <v>Cap Con on Completion Type 1</v>
      </c>
      <c r="C20" s="114">
        <v>0.5</v>
      </c>
      <c r="D20" s="116">
        <f>'User Input'!$B$19</f>
        <v>0</v>
      </c>
      <c r="E20" s="78">
        <f>HLOOKUP(C10,'GAV Transformation'!2:4,3,FALSE)</f>
        <v>0</v>
      </c>
      <c r="F20" s="78">
        <f t="shared" ref="F20" si="1">E20</f>
        <v>0</v>
      </c>
      <c r="G20" s="78">
        <f>IF($C$13="Yes",0,IF(C20&gt;D20,0,E20*(D20-C20)/D20))</f>
        <v>0</v>
      </c>
      <c r="H20" s="79">
        <f>IF(C20&gt;D20,0,G20*H17)</f>
        <v>0</v>
      </c>
      <c r="I20" s="79">
        <f>IF($C$13="Yes",0,IF(C20&gt;D20,0,E20*1/D20))</f>
        <v>0</v>
      </c>
      <c r="J20" s="79">
        <f>E20*J17</f>
        <v>0</v>
      </c>
      <c r="K20" s="79">
        <f>E20*K17</f>
        <v>0</v>
      </c>
      <c r="L20" s="79">
        <f t="shared" si="0"/>
        <v>0</v>
      </c>
      <c r="M20" s="79"/>
      <c r="O20" s="79"/>
      <c r="P20" s="79"/>
      <c r="Q20" s="124">
        <f>C20+0.5</f>
        <v>1</v>
      </c>
      <c r="R20" s="190">
        <f>IF($C$13="Yes",0,IF(Q20&gt;D20,0,E20*(D20-Q20)/D20))</f>
        <v>0</v>
      </c>
      <c r="S20" s="79">
        <f>L20</f>
        <v>0</v>
      </c>
      <c r="U20" s="49"/>
    </row>
    <row r="21" spans="1:21" ht="12.75" customHeight="1" x14ac:dyDescent="0.25">
      <c r="A21" s="17"/>
      <c r="B21" s="134"/>
      <c r="C21" s="135"/>
      <c r="D21" s="136"/>
      <c r="E21" s="191"/>
      <c r="F21" s="137"/>
      <c r="G21" s="137"/>
      <c r="H21" s="38"/>
      <c r="I21" s="38"/>
      <c r="J21" s="38"/>
      <c r="K21" s="38"/>
      <c r="L21" s="38"/>
      <c r="M21" s="38"/>
      <c r="O21" s="38"/>
      <c r="P21" s="38"/>
      <c r="Q21" s="138"/>
      <c r="R21" s="38"/>
      <c r="S21" s="38"/>
      <c r="U21" s="49"/>
    </row>
    <row r="22" spans="1:21" ht="23" x14ac:dyDescent="0.25">
      <c r="A22" s="19"/>
      <c r="B22" s="2"/>
      <c r="C22" s="37"/>
      <c r="D22" s="117"/>
      <c r="E22" s="117"/>
      <c r="F22" s="117"/>
      <c r="G22" s="117"/>
      <c r="H22" s="118" t="s">
        <v>12</v>
      </c>
      <c r="I22" s="119"/>
      <c r="J22" s="118" t="s">
        <v>11</v>
      </c>
      <c r="K22" s="118" t="s">
        <v>10</v>
      </c>
      <c r="L22" s="119"/>
      <c r="M22" s="40"/>
      <c r="O22" s="36"/>
      <c r="P22" s="36"/>
      <c r="Q22" s="37"/>
      <c r="R22" s="37"/>
      <c r="S22" s="37"/>
      <c r="U22" s="49"/>
    </row>
    <row r="23" spans="1:21" ht="17.5" x14ac:dyDescent="0.25">
      <c r="A23" s="93" t="s">
        <v>8</v>
      </c>
      <c r="B23" s="111">
        <f>B17+1</f>
        <v>2</v>
      </c>
      <c r="C23" s="37"/>
      <c r="D23" s="117"/>
      <c r="E23" s="251"/>
      <c r="F23" s="251"/>
      <c r="G23" s="120"/>
      <c r="H23" s="121">
        <f>IF($C$13="Yes",0,IF(SUM($C$10+B17)&lt;=2020,"6%",VLOOKUP($C$6&amp;SUM($C$10+B17),Data!$C:$D,2,FALSE)))</f>
        <v>0</v>
      </c>
      <c r="I23" s="117"/>
      <c r="J23" s="121">
        <f>VLOOKUP($C$24,Data!$F:$I,3,FALSE)</f>
        <v>3.8E-3</v>
      </c>
      <c r="K23" s="121">
        <f>VLOOKUP(C24,Data!$F:$I,4,FALSE)</f>
        <v>1.06E-2</v>
      </c>
      <c r="L23" s="117"/>
      <c r="M23" s="37"/>
      <c r="O23" s="121" t="s">
        <v>53</v>
      </c>
      <c r="P23" s="121" t="s">
        <v>54</v>
      </c>
      <c r="Q23" s="122"/>
      <c r="R23" s="37"/>
      <c r="S23" s="37"/>
      <c r="U23" s="49"/>
    </row>
    <row r="24" spans="1:21" s="2" customFormat="1" ht="12.75" customHeight="1" x14ac:dyDescent="0.25">
      <c r="A24" s="17"/>
      <c r="B24" s="70" t="s">
        <v>6</v>
      </c>
      <c r="C24" s="70">
        <f>C18+1</f>
        <v>2029</v>
      </c>
      <c r="D24" s="70" t="s">
        <v>5</v>
      </c>
      <c r="E24" s="70" t="s">
        <v>9</v>
      </c>
      <c r="F24" s="70" t="s">
        <v>7</v>
      </c>
      <c r="G24" s="70" t="s">
        <v>1</v>
      </c>
      <c r="H24" s="70" t="s">
        <v>0</v>
      </c>
      <c r="I24" s="70" t="s">
        <v>5</v>
      </c>
      <c r="J24" s="70" t="s">
        <v>3</v>
      </c>
      <c r="K24" s="70" t="s">
        <v>2</v>
      </c>
      <c r="L24" s="70" t="s">
        <v>4</v>
      </c>
      <c r="M24" s="70" t="s">
        <v>13</v>
      </c>
      <c r="N24" s="20"/>
      <c r="O24" s="70" t="s">
        <v>26</v>
      </c>
      <c r="P24" s="70" t="s">
        <v>26</v>
      </c>
      <c r="Q24" s="70" t="s">
        <v>27</v>
      </c>
      <c r="R24" s="70" t="s">
        <v>28</v>
      </c>
      <c r="S24" s="70" t="s">
        <v>29</v>
      </c>
      <c r="U24" s="49"/>
    </row>
    <row r="25" spans="1:21" ht="12.75" customHeight="1" x14ac:dyDescent="0.25">
      <c r="A25" s="17" t="str">
        <f>B25&amp;$B$23</f>
        <v>Cap Con on Completion Type 12</v>
      </c>
      <c r="B25" s="83" t="str">
        <f>B19</f>
        <v>Cap Con on Completion Type 1</v>
      </c>
      <c r="C25" s="113">
        <f>C19+1</f>
        <v>1.5</v>
      </c>
      <c r="D25" s="115">
        <f>D19</f>
        <v>40</v>
      </c>
      <c r="E25" s="81">
        <f>E19*SUM(VLOOKUP(SUM($C$10+B17),Data!$F:$G,2,FALSE))</f>
        <v>17802766.163311131</v>
      </c>
      <c r="F25" s="81">
        <f>E25</f>
        <v>17802766.163311131</v>
      </c>
      <c r="G25" s="81">
        <f>IF($C$13="Yes",0,IF(C25&gt;D25,0,E25*(D25-C25)/D25))</f>
        <v>0</v>
      </c>
      <c r="H25" s="82">
        <f>IF(C25&gt;D25,0,G25*H23)</f>
        <v>0</v>
      </c>
      <c r="I25" s="130">
        <f>IF($C$13="Yes",0,IF(C25&gt;D25,0,E25*1/D25))</f>
        <v>0</v>
      </c>
      <c r="J25" s="82">
        <f>E25*J23</f>
        <v>67650.511420582305</v>
      </c>
      <c r="K25" s="82">
        <f>E25*K23</f>
        <v>188709.32133109801</v>
      </c>
      <c r="L25" s="82">
        <f t="shared" ref="L25:L26" si="2">SUM(H25:K25)</f>
        <v>256359.83275168031</v>
      </c>
      <c r="M25" s="82">
        <f>L25+L26</f>
        <v>256359.83275168031</v>
      </c>
      <c r="N25" s="19">
        <f>L19+L25</f>
        <v>497095.895059578</v>
      </c>
      <c r="O25" s="82">
        <f>SUM(R25:S26)</f>
        <v>256359.83275168031</v>
      </c>
      <c r="P25" s="82">
        <f>SUM(S25:S26)/2+SUM(R25:R26)</f>
        <v>128179.91637584016</v>
      </c>
      <c r="Q25" s="123">
        <f>C25+0.5</f>
        <v>2</v>
      </c>
      <c r="R25" s="189">
        <f>IF($C$13="Yes",0,IF(Q25&gt;D25,0,E25*(D25-Q25)/D25))</f>
        <v>0</v>
      </c>
      <c r="S25" s="82">
        <f>L25</f>
        <v>256359.83275168031</v>
      </c>
      <c r="U25" s="49"/>
    </row>
    <row r="26" spans="1:21" ht="17.5" x14ac:dyDescent="0.25">
      <c r="A26" s="17" t="str">
        <f>B26&amp;$B$23</f>
        <v>Cap Con on Completion Type 12</v>
      </c>
      <c r="B26" s="84" t="str">
        <f>B20</f>
        <v>Cap Con on Completion Type 1</v>
      </c>
      <c r="C26" s="114">
        <f>C20+1</f>
        <v>1.5</v>
      </c>
      <c r="D26" s="116">
        <f>D20</f>
        <v>0</v>
      </c>
      <c r="E26" s="78">
        <f>E20*SUM(VLOOKUP(SUM($C$10+B17),Data!$F:$G,2,FALSE))</f>
        <v>0</v>
      </c>
      <c r="F26" s="78">
        <f t="shared" ref="F26" si="3">E26</f>
        <v>0</v>
      </c>
      <c r="G26" s="78">
        <f>IF($C$13="Yes",0,IF(C26&gt;D26,0,E26*(D26-C26)/D26))</f>
        <v>0</v>
      </c>
      <c r="H26" s="79">
        <f>IF(C26&gt;D26,0,G26*H23)</f>
        <v>0</v>
      </c>
      <c r="I26" s="131">
        <f>IF($C$13="Yes",0,IF(C26&gt;D26,0,E26*1/D26))</f>
        <v>0</v>
      </c>
      <c r="J26" s="79">
        <f>E26*J23</f>
        <v>0</v>
      </c>
      <c r="K26" s="79">
        <f>E26*K23</f>
        <v>0</v>
      </c>
      <c r="L26" s="79">
        <f t="shared" si="2"/>
        <v>0</v>
      </c>
      <c r="M26" s="79"/>
      <c r="N26" s="19">
        <f>L20+L26</f>
        <v>0</v>
      </c>
      <c r="O26" s="79"/>
      <c r="P26" s="79"/>
      <c r="Q26" s="124">
        <f>C26+0.5</f>
        <v>2</v>
      </c>
      <c r="R26" s="190">
        <f>IF($C$13="Yes",0,IF(Q26&gt;D26,0,E26*(D26-Q26)/D26))</f>
        <v>0</v>
      </c>
      <c r="S26" s="79">
        <f t="shared" ref="S26" si="4">L26</f>
        <v>0</v>
      </c>
      <c r="U26" s="49"/>
    </row>
    <row r="27" spans="1:21" ht="17.5" x14ac:dyDescent="0.25">
      <c r="A27" s="17"/>
      <c r="B27" s="134"/>
      <c r="C27" s="135"/>
      <c r="D27" s="136"/>
      <c r="E27" s="137"/>
      <c r="F27" s="137"/>
      <c r="G27" s="137"/>
      <c r="H27" s="38"/>
      <c r="I27" s="38"/>
      <c r="J27" s="38"/>
      <c r="K27" s="38"/>
      <c r="L27" s="38"/>
      <c r="M27" s="38"/>
      <c r="O27" s="38"/>
      <c r="P27" s="38"/>
      <c r="Q27" s="138"/>
      <c r="R27" s="38"/>
      <c r="S27" s="38"/>
      <c r="U27" s="49"/>
    </row>
    <row r="28" spans="1:21" ht="23" x14ac:dyDescent="0.25">
      <c r="A28" s="19"/>
      <c r="B28" s="2"/>
      <c r="C28" s="37"/>
      <c r="D28" s="117"/>
      <c r="E28" s="117"/>
      <c r="F28" s="117"/>
      <c r="G28" s="117"/>
      <c r="H28" s="118" t="s">
        <v>12</v>
      </c>
      <c r="I28" s="119"/>
      <c r="J28" s="118" t="s">
        <v>11</v>
      </c>
      <c r="K28" s="118" t="s">
        <v>10</v>
      </c>
      <c r="L28" s="119"/>
      <c r="M28" s="40"/>
      <c r="N28" s="19">
        <f>L22+L28</f>
        <v>0</v>
      </c>
      <c r="O28" s="36"/>
      <c r="P28" s="36"/>
      <c r="Q28" s="37"/>
      <c r="R28" s="37"/>
      <c r="S28" s="37"/>
      <c r="U28" s="49"/>
    </row>
    <row r="29" spans="1:21" ht="17.5" x14ac:dyDescent="0.25">
      <c r="A29" s="93" t="s">
        <v>8</v>
      </c>
      <c r="B29" s="111">
        <f>B23+1</f>
        <v>3</v>
      </c>
      <c r="C29" s="37"/>
      <c r="D29" s="117"/>
      <c r="E29" s="251"/>
      <c r="F29" s="251"/>
      <c r="G29" s="120"/>
      <c r="H29" s="121">
        <f>IF($C$13="Yes",0,IF(SUM($C$10+B23)&lt;=2020,"6%",VLOOKUP($C$6&amp;SUM($C$10+B23),Data!$C:$D,2,FALSE)))</f>
        <v>0</v>
      </c>
      <c r="I29" s="117"/>
      <c r="J29" s="121">
        <f>VLOOKUP(C30,Data!$F:$I,3,FALSE)</f>
        <v>3.8E-3</v>
      </c>
      <c r="K29" s="121">
        <f>VLOOKUP(C30,Data!$F:$I,4,FALSE)</f>
        <v>1.06E-2</v>
      </c>
      <c r="L29" s="117"/>
      <c r="M29" s="37"/>
      <c r="N29" s="19">
        <f>L23+L29</f>
        <v>0</v>
      </c>
      <c r="O29" s="121" t="s">
        <v>53</v>
      </c>
      <c r="P29" s="121" t="s">
        <v>54</v>
      </c>
      <c r="Q29" s="122"/>
      <c r="R29" s="37"/>
      <c r="S29" s="37"/>
      <c r="U29" s="49"/>
    </row>
    <row r="30" spans="1:21" s="2" customFormat="1" ht="12.75" customHeight="1" x14ac:dyDescent="0.25">
      <c r="A30" s="17"/>
      <c r="B30" s="70" t="s">
        <v>6</v>
      </c>
      <c r="C30" s="70">
        <f>C24+1</f>
        <v>2030</v>
      </c>
      <c r="D30" s="70" t="s">
        <v>5</v>
      </c>
      <c r="E30" s="70" t="s">
        <v>9</v>
      </c>
      <c r="F30" s="70" t="s">
        <v>7</v>
      </c>
      <c r="G30" s="70" t="s">
        <v>1</v>
      </c>
      <c r="H30" s="70" t="s">
        <v>0</v>
      </c>
      <c r="I30" s="70" t="s">
        <v>5</v>
      </c>
      <c r="J30" s="70" t="s">
        <v>3</v>
      </c>
      <c r="K30" s="70" t="s">
        <v>2</v>
      </c>
      <c r="L30" s="70" t="s">
        <v>4</v>
      </c>
      <c r="M30" s="70" t="s">
        <v>13</v>
      </c>
      <c r="N30" s="20"/>
      <c r="O30" s="70" t="s">
        <v>26</v>
      </c>
      <c r="P30" s="70" t="s">
        <v>26</v>
      </c>
      <c r="Q30" s="70" t="s">
        <v>27</v>
      </c>
      <c r="R30" s="70" t="s">
        <v>28</v>
      </c>
      <c r="S30" s="70" t="s">
        <v>29</v>
      </c>
      <c r="U30" s="49"/>
    </row>
    <row r="31" spans="1:21" ht="12.75" customHeight="1" x14ac:dyDescent="0.25">
      <c r="A31" s="17" t="str">
        <f>B31&amp;$B$29</f>
        <v>Cap Con on Completion Type 13</v>
      </c>
      <c r="B31" s="83" t="str">
        <f>B25</f>
        <v>Cap Con on Completion Type 1</v>
      </c>
      <c r="C31" s="113">
        <f>C25+1</f>
        <v>2.5</v>
      </c>
      <c r="D31" s="115">
        <f>D25</f>
        <v>40</v>
      </c>
      <c r="E31" s="81">
        <f>E25*SUM(VLOOKUP(SUM($C$10+B23),Data!$F:$G,2,FALSE))</f>
        <v>18958165.687310021</v>
      </c>
      <c r="F31" s="81">
        <f>E31</f>
        <v>18958165.687310021</v>
      </c>
      <c r="G31" s="81">
        <f>IF($C$13="Yes",0,IF(C31&gt;D31,0,E31*(D31-C31)/D31))</f>
        <v>0</v>
      </c>
      <c r="H31" s="82">
        <f>IF(C31&gt;D31,0,G31*H29)</f>
        <v>0</v>
      </c>
      <c r="I31" s="130">
        <f>IF($C$13="Yes",0,IF(C31&gt;D31,0,E31*1/D31))</f>
        <v>0</v>
      </c>
      <c r="J31" s="82">
        <f>E31*J29</f>
        <v>72041.029611778082</v>
      </c>
      <c r="K31" s="82">
        <f>E31*K29</f>
        <v>200956.55628548624</v>
      </c>
      <c r="L31" s="82">
        <f t="shared" ref="L31:L32" si="5">SUM(H31:K31)</f>
        <v>272997.5858972643</v>
      </c>
      <c r="M31" s="82">
        <f>L31+L32</f>
        <v>272997.5858972643</v>
      </c>
      <c r="N31" s="19">
        <f>N25+L31</f>
        <v>770093.48095684231</v>
      </c>
      <c r="O31" s="82">
        <f>SUM(R31:S32)</f>
        <v>272997.5858972643</v>
      </c>
      <c r="P31" s="82">
        <f>SUM(S31:S32)/2+SUM(R31:R32)</f>
        <v>136498.79294863215</v>
      </c>
      <c r="Q31" s="123">
        <f>C31+0.5</f>
        <v>3</v>
      </c>
      <c r="R31" s="189">
        <f>IF($C$13="Yes",0,IF(Q31&gt;D31,0,E31*(D31-Q31)/D31))</f>
        <v>0</v>
      </c>
      <c r="S31" s="82">
        <f>L31</f>
        <v>272997.5858972643</v>
      </c>
      <c r="U31" s="49"/>
    </row>
    <row r="32" spans="1:21" ht="12.75" customHeight="1" x14ac:dyDescent="0.25">
      <c r="A32" s="17" t="str">
        <f>B32&amp;$B$29</f>
        <v>Cap Con on Completion Type 13</v>
      </c>
      <c r="B32" s="84" t="str">
        <f>B26</f>
        <v>Cap Con on Completion Type 1</v>
      </c>
      <c r="C32" s="114">
        <f>C26+1</f>
        <v>2.5</v>
      </c>
      <c r="D32" s="116">
        <f>D26</f>
        <v>0</v>
      </c>
      <c r="E32" s="78">
        <f>E26*SUM(VLOOKUP(SUM($C$10+B23),Data!$F:$G,2,FALSE))</f>
        <v>0</v>
      </c>
      <c r="F32" s="78">
        <f t="shared" ref="F32" si="6">E32</f>
        <v>0</v>
      </c>
      <c r="G32" s="78">
        <f>IF($C$13="Yes",0,IF(C32&gt;D32,0,E32*(D32-C32)/D32))</f>
        <v>0</v>
      </c>
      <c r="H32" s="79">
        <f>IF(C32&gt;D32,0,G32*H29)</f>
        <v>0</v>
      </c>
      <c r="I32" s="131">
        <f>IF($C$13="Yes",0,IF(C32&gt;D32,0,E32*1/D32))</f>
        <v>0</v>
      </c>
      <c r="J32" s="79">
        <f>E32*J29</f>
        <v>0</v>
      </c>
      <c r="K32" s="79">
        <f>E32*K29</f>
        <v>0</v>
      </c>
      <c r="L32" s="79">
        <f t="shared" si="5"/>
        <v>0</v>
      </c>
      <c r="M32" s="79"/>
      <c r="N32" s="19">
        <f>N26+L32</f>
        <v>0</v>
      </c>
      <c r="O32" s="79"/>
      <c r="P32" s="79"/>
      <c r="Q32" s="124">
        <f>C32+0.5</f>
        <v>3</v>
      </c>
      <c r="R32" s="190">
        <f>IF($C$13="Yes",0,IF(Q32&gt;D32,0,E32*(D32-Q32)/D32))</f>
        <v>0</v>
      </c>
      <c r="S32" s="79">
        <f t="shared" ref="S32" si="7">L32</f>
        <v>0</v>
      </c>
      <c r="U32" s="49"/>
    </row>
    <row r="33" spans="1:21" ht="12.75" customHeight="1" x14ac:dyDescent="0.25">
      <c r="A33" s="17"/>
      <c r="B33" s="134"/>
      <c r="C33" s="135"/>
      <c r="D33" s="136"/>
      <c r="E33" s="137"/>
      <c r="F33" s="137"/>
      <c r="G33" s="137"/>
      <c r="H33" s="38"/>
      <c r="I33" s="38"/>
      <c r="J33" s="38"/>
      <c r="K33" s="38"/>
      <c r="L33" s="38"/>
      <c r="M33" s="38"/>
      <c r="O33" s="38"/>
      <c r="P33" s="38"/>
      <c r="Q33" s="138"/>
      <c r="R33" s="38"/>
      <c r="S33" s="38"/>
      <c r="U33" s="49"/>
    </row>
    <row r="34" spans="1:21" ht="23" x14ac:dyDescent="0.25">
      <c r="A34" s="19"/>
      <c r="B34" s="2"/>
      <c r="C34" s="37"/>
      <c r="D34" s="117"/>
      <c r="E34" s="117"/>
      <c r="F34" s="117"/>
      <c r="G34" s="117"/>
      <c r="H34" s="118" t="s">
        <v>12</v>
      </c>
      <c r="I34" s="119"/>
      <c r="J34" s="118" t="s">
        <v>11</v>
      </c>
      <c r="K34" s="118" t="s">
        <v>10</v>
      </c>
      <c r="L34" s="119"/>
      <c r="M34" s="40"/>
      <c r="N34" s="19">
        <f>N28+L34</f>
        <v>0</v>
      </c>
      <c r="O34" s="36"/>
      <c r="P34" s="36"/>
      <c r="Q34" s="37"/>
      <c r="R34" s="37"/>
      <c r="S34" s="37"/>
      <c r="U34" s="49"/>
    </row>
    <row r="35" spans="1:21" ht="15.5" x14ac:dyDescent="0.25">
      <c r="A35" s="93" t="s">
        <v>8</v>
      </c>
      <c r="B35" s="111">
        <f>B29+1</f>
        <v>4</v>
      </c>
      <c r="C35" s="37"/>
      <c r="D35" s="117"/>
      <c r="E35" s="251"/>
      <c r="F35" s="251"/>
      <c r="G35" s="120"/>
      <c r="H35" s="121">
        <f>IF($C$13="Yes",0,IF(SUM($C$10+B35)&lt;=2020,"6%",VLOOKUP($C$6&amp;SUM($C$10+B35),Data!$C:$D,2,FALSE)))</f>
        <v>0</v>
      </c>
      <c r="I35" s="117"/>
      <c r="J35" s="121">
        <f>VLOOKUP(C36,Data!$F:$I,3,FALSE)</f>
        <v>3.8E-3</v>
      </c>
      <c r="K35" s="121">
        <f>VLOOKUP(C36,Data!$F:$I,4,FALSE)</f>
        <v>1.06E-2</v>
      </c>
      <c r="L35" s="117"/>
      <c r="M35" s="37"/>
      <c r="N35" s="19">
        <f>N29+L35</f>
        <v>0</v>
      </c>
      <c r="O35" s="121" t="s">
        <v>53</v>
      </c>
      <c r="P35" s="121" t="s">
        <v>54</v>
      </c>
      <c r="Q35" s="122"/>
      <c r="R35" s="37"/>
      <c r="S35" s="37"/>
    </row>
    <row r="36" spans="1:21" s="2" customFormat="1" x14ac:dyDescent="0.25">
      <c r="A36" s="17"/>
      <c r="B36" s="70" t="s">
        <v>6</v>
      </c>
      <c r="C36" s="70">
        <f>C30+1</f>
        <v>2031</v>
      </c>
      <c r="D36" s="70" t="s">
        <v>5</v>
      </c>
      <c r="E36" s="70" t="s">
        <v>9</v>
      </c>
      <c r="F36" s="70" t="s">
        <v>7</v>
      </c>
      <c r="G36" s="70" t="s">
        <v>1</v>
      </c>
      <c r="H36" s="70" t="s">
        <v>0</v>
      </c>
      <c r="I36" s="70" t="s">
        <v>5</v>
      </c>
      <c r="J36" s="70" t="s">
        <v>3</v>
      </c>
      <c r="K36" s="70" t="s">
        <v>2</v>
      </c>
      <c r="L36" s="70" t="s">
        <v>4</v>
      </c>
      <c r="M36" s="70" t="s">
        <v>13</v>
      </c>
      <c r="N36" s="20"/>
      <c r="O36" s="70" t="s">
        <v>26</v>
      </c>
      <c r="P36" s="70" t="s">
        <v>26</v>
      </c>
      <c r="Q36" s="70" t="s">
        <v>27</v>
      </c>
      <c r="R36" s="70" t="s">
        <v>28</v>
      </c>
      <c r="S36" s="70" t="s">
        <v>29</v>
      </c>
    </row>
    <row r="37" spans="1:21" ht="12.5" x14ac:dyDescent="0.25">
      <c r="A37" s="17" t="str">
        <f>B37&amp;$B$35</f>
        <v>Cap Con on Completion Type 14</v>
      </c>
      <c r="B37" s="83" t="str">
        <f>B31</f>
        <v>Cap Con on Completion Type 1</v>
      </c>
      <c r="C37" s="113">
        <f>C31+1</f>
        <v>3.5</v>
      </c>
      <c r="D37" s="115">
        <f>D31</f>
        <v>40</v>
      </c>
      <c r="E37" s="81">
        <f>E31*SUM(VLOOKUP(SUM($C$10+B29),Data!$F:$G,2,FALSE))</f>
        <v>20188550.64041644</v>
      </c>
      <c r="F37" s="81">
        <f>E37</f>
        <v>20188550.64041644</v>
      </c>
      <c r="G37" s="81">
        <f>IF($C$13="Yes",0,IF(C37&gt;D37,0,E37*(D37-C37)/D37))</f>
        <v>0</v>
      </c>
      <c r="H37" s="82">
        <f>IF(C37&gt;D37,0,G37*H35)</f>
        <v>0</v>
      </c>
      <c r="I37" s="130">
        <f>IF($C$13="Yes",0,IF(C37&gt;D37,0,E37*1/D37))</f>
        <v>0</v>
      </c>
      <c r="J37" s="82">
        <f>E37*J35</f>
        <v>76716.492433582476</v>
      </c>
      <c r="K37" s="82">
        <f>E37*K35</f>
        <v>213998.63678841427</v>
      </c>
      <c r="L37" s="82">
        <f t="shared" ref="L37:L38" si="8">SUM(H37:K37)</f>
        <v>290715.12922199676</v>
      </c>
      <c r="M37" s="82">
        <f>L37+L38</f>
        <v>290715.12922199676</v>
      </c>
      <c r="N37" s="19">
        <f>N31+L37</f>
        <v>1060808.6101788389</v>
      </c>
      <c r="O37" s="82">
        <f>SUM(R37:S38)</f>
        <v>290715.12922199676</v>
      </c>
      <c r="P37" s="82">
        <f>SUM(S37:S38)/2+SUM(R37:R38)</f>
        <v>145357.56461099838</v>
      </c>
      <c r="Q37" s="123">
        <f>C37+0.5</f>
        <v>4</v>
      </c>
      <c r="R37" s="189">
        <f>IF($C$13="Yes",0,IF(Q37&gt;D37,0,E37*(D37-Q37)/D37))</f>
        <v>0</v>
      </c>
      <c r="S37" s="82">
        <f>L37</f>
        <v>290715.12922199676</v>
      </c>
    </row>
    <row r="38" spans="1:21" ht="12.5" x14ac:dyDescent="0.25">
      <c r="A38" s="17" t="str">
        <f>B38&amp;$B$35</f>
        <v>Cap Con on Completion Type 14</v>
      </c>
      <c r="B38" s="84" t="str">
        <f>B32</f>
        <v>Cap Con on Completion Type 1</v>
      </c>
      <c r="C38" s="114">
        <f>C32+1</f>
        <v>3.5</v>
      </c>
      <c r="D38" s="116">
        <f>D32</f>
        <v>0</v>
      </c>
      <c r="E38" s="78">
        <f>E32*SUM(VLOOKUP(SUM($C$10+B29),Data!$F:$G,2,FALSE))</f>
        <v>0</v>
      </c>
      <c r="F38" s="78">
        <f t="shared" ref="F38" si="9">E38</f>
        <v>0</v>
      </c>
      <c r="G38" s="78">
        <f>IF($C$13="Yes",0,IF(C38&gt;D38,0,E38*(D38-C38)/D38))</f>
        <v>0</v>
      </c>
      <c r="H38" s="79">
        <f>IF(C38&gt;D38,0,G38*H35)</f>
        <v>0</v>
      </c>
      <c r="I38" s="131">
        <f>IF($C$13="Yes",0,IF(C38&gt;D38,0,E38*1/D38))</f>
        <v>0</v>
      </c>
      <c r="J38" s="79">
        <f>E38*J35</f>
        <v>0</v>
      </c>
      <c r="K38" s="79">
        <f>E38*K35</f>
        <v>0</v>
      </c>
      <c r="L38" s="79">
        <f t="shared" si="8"/>
        <v>0</v>
      </c>
      <c r="M38" s="79"/>
      <c r="N38" s="19">
        <f>N32+L38</f>
        <v>0</v>
      </c>
      <c r="O38" s="79"/>
      <c r="P38" s="79"/>
      <c r="Q38" s="124">
        <f>C38+0.5</f>
        <v>4</v>
      </c>
      <c r="R38" s="190">
        <f>IF($C$13="Yes",0,IF(Q38&gt;D38,0,E38*(D38-Q38)/D38))</f>
        <v>0</v>
      </c>
      <c r="S38" s="79">
        <f t="shared" ref="S38" si="10">L38</f>
        <v>0</v>
      </c>
    </row>
    <row r="39" spans="1:21" ht="12.5" x14ac:dyDescent="0.25">
      <c r="A39" s="17"/>
      <c r="B39" s="134"/>
      <c r="C39" s="135"/>
      <c r="D39" s="136"/>
      <c r="E39" s="137"/>
      <c r="F39" s="137"/>
      <c r="G39" s="137"/>
      <c r="H39" s="38"/>
      <c r="I39" s="38"/>
      <c r="J39" s="38"/>
      <c r="K39" s="38"/>
      <c r="L39" s="38"/>
      <c r="M39" s="38"/>
      <c r="O39" s="38"/>
      <c r="P39" s="38"/>
      <c r="Q39" s="138"/>
      <c r="R39" s="38"/>
      <c r="S39" s="38"/>
    </row>
    <row r="40" spans="1:21" ht="23" x14ac:dyDescent="0.25">
      <c r="A40" s="19"/>
      <c r="B40" s="2"/>
      <c r="C40" s="37"/>
      <c r="D40" s="117"/>
      <c r="E40" s="117"/>
      <c r="F40" s="117"/>
      <c r="G40" s="117"/>
      <c r="H40" s="118" t="s">
        <v>12</v>
      </c>
      <c r="I40" s="119"/>
      <c r="J40" s="118" t="s">
        <v>11</v>
      </c>
      <c r="K40" s="118" t="s">
        <v>10</v>
      </c>
      <c r="L40" s="119"/>
      <c r="M40" s="40"/>
      <c r="N40" s="19">
        <f>N34+L40</f>
        <v>0</v>
      </c>
      <c r="O40" s="36"/>
      <c r="P40" s="36"/>
      <c r="Q40" s="37"/>
      <c r="R40" s="37"/>
      <c r="S40" s="37"/>
    </row>
    <row r="41" spans="1:21" ht="15.5" x14ac:dyDescent="0.25">
      <c r="A41" s="93" t="s">
        <v>8</v>
      </c>
      <c r="B41" s="111">
        <f>B35+1</f>
        <v>5</v>
      </c>
      <c r="C41" s="37"/>
      <c r="D41" s="117"/>
      <c r="E41" s="251"/>
      <c r="F41" s="251"/>
      <c r="G41" s="120"/>
      <c r="H41" s="121">
        <f>IF($C$13="Yes",0,IF(SUM($C$10+B41)&lt;=2020,"6%",VLOOKUP($C$6&amp;SUM($C$10+B41),Data!$C:$D,2,FALSE)))</f>
        <v>0</v>
      </c>
      <c r="I41" s="117"/>
      <c r="J41" s="121">
        <f>VLOOKUP(C42,Data!$F:$I,3,FALSE)</f>
        <v>3.8E-3</v>
      </c>
      <c r="K41" s="121">
        <f>VLOOKUP(C42,Data!$F:$I,4,FALSE)</f>
        <v>1.06E-2</v>
      </c>
      <c r="L41" s="117"/>
      <c r="M41" s="37"/>
      <c r="N41" s="19">
        <f>N35+L41</f>
        <v>0</v>
      </c>
      <c r="O41" s="121" t="s">
        <v>53</v>
      </c>
      <c r="P41" s="121" t="s">
        <v>54</v>
      </c>
      <c r="Q41" s="122"/>
      <c r="R41" s="37"/>
      <c r="S41" s="37"/>
    </row>
    <row r="42" spans="1:21" x14ac:dyDescent="0.25">
      <c r="A42" s="17"/>
      <c r="B42" s="70" t="s">
        <v>6</v>
      </c>
      <c r="C42" s="70">
        <f>C36+1</f>
        <v>2032</v>
      </c>
      <c r="D42" s="70" t="s">
        <v>5</v>
      </c>
      <c r="E42" s="70" t="s">
        <v>9</v>
      </c>
      <c r="F42" s="70" t="s">
        <v>7</v>
      </c>
      <c r="G42" s="70" t="s">
        <v>1</v>
      </c>
      <c r="H42" s="70" t="s">
        <v>0</v>
      </c>
      <c r="I42" s="70" t="s">
        <v>5</v>
      </c>
      <c r="J42" s="70" t="s">
        <v>3</v>
      </c>
      <c r="K42" s="70" t="s">
        <v>2</v>
      </c>
      <c r="L42" s="70" t="s">
        <v>4</v>
      </c>
      <c r="M42" s="70" t="s">
        <v>13</v>
      </c>
      <c r="N42" s="20"/>
      <c r="O42" s="70" t="s">
        <v>26</v>
      </c>
      <c r="P42" s="70" t="s">
        <v>26</v>
      </c>
      <c r="Q42" s="70" t="s">
        <v>27</v>
      </c>
      <c r="R42" s="70" t="s">
        <v>28</v>
      </c>
      <c r="S42" s="70" t="s">
        <v>29</v>
      </c>
    </row>
    <row r="43" spans="1:21" ht="12.5" x14ac:dyDescent="0.25">
      <c r="A43" s="17" t="str">
        <f>B43&amp;$B$41</f>
        <v>Cap Con on Completion Type 15</v>
      </c>
      <c r="B43" s="83" t="str">
        <f>B37</f>
        <v>Cap Con on Completion Type 1</v>
      </c>
      <c r="C43" s="113">
        <f>C37+1</f>
        <v>4.5</v>
      </c>
      <c r="D43" s="115">
        <f>D37</f>
        <v>40</v>
      </c>
      <c r="E43" s="81">
        <f>E37*SUM(VLOOKUP(SUM($C$10+B35),Data!$F:$G,2,FALSE))</f>
        <v>21498787.576979466</v>
      </c>
      <c r="F43" s="81">
        <f>E43</f>
        <v>21498787.576979466</v>
      </c>
      <c r="G43" s="81">
        <f>IF($C$13="Yes",0,IF(C43&gt;D43,0,E43*(D43-C43)/D43))</f>
        <v>0</v>
      </c>
      <c r="H43" s="82">
        <f>IF(C43&gt;D43,0,G43*H41)</f>
        <v>0</v>
      </c>
      <c r="I43" s="130">
        <f>IF($C$13="Yes",0,IF(C43&gt;D43,0,E43*1/D43))</f>
        <v>0</v>
      </c>
      <c r="J43" s="82">
        <f>E43*J41</f>
        <v>81695.392792521976</v>
      </c>
      <c r="K43" s="82">
        <f>E43*K41</f>
        <v>227887.14831598234</v>
      </c>
      <c r="L43" s="82">
        <f t="shared" ref="L43:L44" si="11">SUM(H43:K43)</f>
        <v>309582.54110850429</v>
      </c>
      <c r="M43" s="82">
        <f>L43+L44</f>
        <v>309582.54110850429</v>
      </c>
      <c r="N43" s="19">
        <f>N37+L43</f>
        <v>1370391.1512873434</v>
      </c>
      <c r="O43" s="82">
        <f>SUM(R43:S44)</f>
        <v>309582.54110850429</v>
      </c>
      <c r="P43" s="82">
        <f>SUM(S43:S44)/2+SUM(R43:R44)</f>
        <v>154791.27055425214</v>
      </c>
      <c r="Q43" s="123">
        <f>C43+0.5</f>
        <v>5</v>
      </c>
      <c r="R43" s="189">
        <f>IF($C$13="Yes",0,IF(Q43&gt;D43,0,E43*(D43-Q43)/D43))</f>
        <v>0</v>
      </c>
      <c r="S43" s="82">
        <f>L43</f>
        <v>309582.54110850429</v>
      </c>
    </row>
    <row r="44" spans="1:21" ht="12.5" x14ac:dyDescent="0.25">
      <c r="A44" s="17" t="str">
        <f>B44&amp;$B$41</f>
        <v>Cap Con on Completion Type 15</v>
      </c>
      <c r="B44" s="84" t="str">
        <f>B38</f>
        <v>Cap Con on Completion Type 1</v>
      </c>
      <c r="C44" s="114">
        <f>C38+1</f>
        <v>4.5</v>
      </c>
      <c r="D44" s="116">
        <f>D38</f>
        <v>0</v>
      </c>
      <c r="E44" s="78">
        <f>E38*SUM(VLOOKUP(SUM($C$10+B35),Data!$F:$G,2,FALSE))</f>
        <v>0</v>
      </c>
      <c r="F44" s="78">
        <f t="shared" ref="F44" si="12">E44</f>
        <v>0</v>
      </c>
      <c r="G44" s="78">
        <f>IF($C$13="Yes",0,IF(C44&gt;D44,0,E44*(D44-C44)/D44))</f>
        <v>0</v>
      </c>
      <c r="H44" s="79">
        <f>IF(C44&gt;D44,0,G44*H41)</f>
        <v>0</v>
      </c>
      <c r="I44" s="131">
        <f>IF($C$13="Yes",0,IF(C44&gt;D44,0,E44*1/D44))</f>
        <v>0</v>
      </c>
      <c r="J44" s="79">
        <f>E44*J41</f>
        <v>0</v>
      </c>
      <c r="K44" s="79">
        <f>E44*K41</f>
        <v>0</v>
      </c>
      <c r="L44" s="79">
        <f t="shared" si="11"/>
        <v>0</v>
      </c>
      <c r="M44" s="79"/>
      <c r="N44" s="19">
        <f>N38+L44</f>
        <v>0</v>
      </c>
      <c r="O44" s="79"/>
      <c r="P44" s="79"/>
      <c r="Q44" s="124">
        <f>C44+0.5</f>
        <v>5</v>
      </c>
      <c r="R44" s="190">
        <f>IF($C$13="Yes",0,IF(Q44&gt;D44,0,E44*(D44-Q44)/D44))</f>
        <v>0</v>
      </c>
      <c r="S44" s="79">
        <f t="shared" ref="S44" si="13">L44</f>
        <v>0</v>
      </c>
    </row>
    <row r="45" spans="1:21" ht="12.5" x14ac:dyDescent="0.25">
      <c r="A45" s="17"/>
      <c r="B45" s="134"/>
      <c r="C45" s="135"/>
      <c r="D45" s="136"/>
      <c r="E45" s="137"/>
      <c r="F45" s="137"/>
      <c r="G45" s="137"/>
      <c r="H45" s="38"/>
      <c r="I45" s="38"/>
      <c r="J45" s="38"/>
      <c r="K45" s="38"/>
      <c r="L45" s="38"/>
      <c r="M45" s="38"/>
      <c r="O45" s="38"/>
      <c r="P45" s="38"/>
      <c r="Q45" s="138"/>
      <c r="R45" s="38"/>
      <c r="S45" s="38"/>
    </row>
    <row r="46" spans="1:21" ht="23" x14ac:dyDescent="0.25">
      <c r="A46" s="19"/>
      <c r="B46" s="2"/>
      <c r="C46" s="37"/>
      <c r="D46" s="117"/>
      <c r="E46" s="117"/>
      <c r="F46" s="117"/>
      <c r="G46" s="117"/>
      <c r="H46" s="118" t="s">
        <v>12</v>
      </c>
      <c r="I46" s="119"/>
      <c r="J46" s="118" t="s">
        <v>11</v>
      </c>
      <c r="K46" s="118" t="s">
        <v>10</v>
      </c>
      <c r="L46" s="119"/>
      <c r="M46" s="40"/>
      <c r="N46" s="19">
        <f>N40+L46</f>
        <v>0</v>
      </c>
      <c r="O46" s="36"/>
      <c r="P46" s="36"/>
      <c r="Q46" s="37"/>
      <c r="R46" s="37"/>
      <c r="S46" s="37"/>
    </row>
    <row r="47" spans="1:21" ht="15.5" x14ac:dyDescent="0.25">
      <c r="A47" s="93" t="s">
        <v>8</v>
      </c>
      <c r="B47" s="111">
        <f>B41+1</f>
        <v>6</v>
      </c>
      <c r="C47" s="37"/>
      <c r="D47" s="117"/>
      <c r="E47" s="251"/>
      <c r="F47" s="251"/>
      <c r="G47" s="120"/>
      <c r="H47" s="121">
        <f>IF($C$13="Yes",0,IF(SUM($C$10+B47)&lt;=2020,"6%",VLOOKUP($C$6&amp;SUM($C$10+B47),Data!$C:$D,2,FALSE)))</f>
        <v>0</v>
      </c>
      <c r="I47" s="117"/>
      <c r="J47" s="121">
        <f>VLOOKUP(C48,Data!$F:$I,3,FALSE)</f>
        <v>3.8E-3</v>
      </c>
      <c r="K47" s="121">
        <f>VLOOKUP(C48,Data!$F:$I,4,FALSE)</f>
        <v>1.06E-2</v>
      </c>
      <c r="L47" s="117"/>
      <c r="M47" s="37"/>
      <c r="N47" s="19">
        <f>N41+L47</f>
        <v>0</v>
      </c>
      <c r="O47" s="121" t="s">
        <v>53</v>
      </c>
      <c r="P47" s="121" t="s">
        <v>54</v>
      </c>
      <c r="Q47" s="122"/>
      <c r="R47" s="37"/>
      <c r="S47" s="37"/>
    </row>
    <row r="48" spans="1:21" x14ac:dyDescent="0.25">
      <c r="A48" s="17"/>
      <c r="B48" s="70" t="s">
        <v>6</v>
      </c>
      <c r="C48" s="70">
        <f>C42+1</f>
        <v>2033</v>
      </c>
      <c r="D48" s="70" t="s">
        <v>5</v>
      </c>
      <c r="E48" s="70" t="s">
        <v>9</v>
      </c>
      <c r="F48" s="70" t="s">
        <v>7</v>
      </c>
      <c r="G48" s="70" t="s">
        <v>1</v>
      </c>
      <c r="H48" s="70" t="s">
        <v>0</v>
      </c>
      <c r="I48" s="70" t="s">
        <v>5</v>
      </c>
      <c r="J48" s="70" t="s">
        <v>3</v>
      </c>
      <c r="K48" s="70" t="s">
        <v>2</v>
      </c>
      <c r="L48" s="70" t="s">
        <v>4</v>
      </c>
      <c r="M48" s="70" t="s">
        <v>13</v>
      </c>
      <c r="N48" s="20"/>
      <c r="O48" s="70" t="s">
        <v>26</v>
      </c>
      <c r="P48" s="70" t="s">
        <v>26</v>
      </c>
      <c r="Q48" s="70" t="s">
        <v>27</v>
      </c>
      <c r="R48" s="70" t="s">
        <v>28</v>
      </c>
      <c r="S48" s="70" t="s">
        <v>29</v>
      </c>
    </row>
    <row r="49" spans="1:19" ht="12.5" x14ac:dyDescent="0.25">
      <c r="A49" s="17" t="str">
        <f>B49&amp;$B$47</f>
        <v>Cap Con on Completion Type 16</v>
      </c>
      <c r="B49" s="83" t="str">
        <f>B43</f>
        <v>Cap Con on Completion Type 1</v>
      </c>
      <c r="C49" s="113">
        <f>C43+1</f>
        <v>5.5</v>
      </c>
      <c r="D49" s="115">
        <f>D43</f>
        <v>40</v>
      </c>
      <c r="E49" s="81">
        <f>E43*SUM(VLOOKUP(SUM($C$10+B41),Data!$F:$G,2,FALSE))</f>
        <v>22894058.890725434</v>
      </c>
      <c r="F49" s="81">
        <f>E49</f>
        <v>22894058.890725434</v>
      </c>
      <c r="G49" s="81">
        <f>IF($C$13="Yes",0,IF(C49&gt;D49,0,E49*(D49-C49)/D49))</f>
        <v>0</v>
      </c>
      <c r="H49" s="82">
        <f>IF(C49&gt;D49,0,G49*H47)</f>
        <v>0</v>
      </c>
      <c r="I49" s="130">
        <f>IF($C$13="Yes",0,IF(C49&gt;D49,0,E49*1/D49))</f>
        <v>0</v>
      </c>
      <c r="J49" s="82">
        <f>E49*J47</f>
        <v>86997.423784756655</v>
      </c>
      <c r="K49" s="82">
        <f>E49*K47</f>
        <v>242677.02424168959</v>
      </c>
      <c r="L49" s="82">
        <f t="shared" ref="L49:L50" si="14">SUM(H49:K49)</f>
        <v>329674.44802644628</v>
      </c>
      <c r="M49" s="82">
        <f>L49+L50</f>
        <v>329674.44802644628</v>
      </c>
      <c r="N49" s="19">
        <f>N43+L49</f>
        <v>1700065.5993137895</v>
      </c>
      <c r="O49" s="82">
        <f>SUM(R49:S50)</f>
        <v>329674.44802644628</v>
      </c>
      <c r="P49" s="82">
        <f>SUM(S49:S50)/2+SUM(R49:R50)</f>
        <v>164837.22401322314</v>
      </c>
      <c r="Q49" s="123">
        <f>C49+0.5</f>
        <v>6</v>
      </c>
      <c r="R49" s="189">
        <f>IF($C$13="Yes",0,IF(Q49&gt;D49,0,E49*(D49-Q49)/D49))</f>
        <v>0</v>
      </c>
      <c r="S49" s="82">
        <f>L49</f>
        <v>329674.44802644628</v>
      </c>
    </row>
    <row r="50" spans="1:19" ht="12.5" x14ac:dyDescent="0.25">
      <c r="A50" s="17" t="str">
        <f>B50&amp;$B$47</f>
        <v>Cap Con on Completion Type 16</v>
      </c>
      <c r="B50" s="84" t="str">
        <f>B44</f>
        <v>Cap Con on Completion Type 1</v>
      </c>
      <c r="C50" s="114">
        <f>C44+1</f>
        <v>5.5</v>
      </c>
      <c r="D50" s="116">
        <f>D44</f>
        <v>0</v>
      </c>
      <c r="E50" s="78">
        <f>E44*SUM(VLOOKUP(SUM($C$10+B41),Data!$F:$G,2,FALSE))</f>
        <v>0</v>
      </c>
      <c r="F50" s="78">
        <f t="shared" ref="F50" si="15">E50</f>
        <v>0</v>
      </c>
      <c r="G50" s="78">
        <f>IF($C$13="Yes",0,IF(C50&gt;D50,0,E50*(D50-C50)/D50))</f>
        <v>0</v>
      </c>
      <c r="H50" s="79">
        <f>IF(C50&gt;D50,0,G50*H47)</f>
        <v>0</v>
      </c>
      <c r="I50" s="131">
        <f>IF($C$13="Yes",0,IF(C50&gt;D50,0,E50*1/D50))</f>
        <v>0</v>
      </c>
      <c r="J50" s="79">
        <f>E50*J47</f>
        <v>0</v>
      </c>
      <c r="K50" s="79">
        <f>E50*K47</f>
        <v>0</v>
      </c>
      <c r="L50" s="79">
        <f t="shared" si="14"/>
        <v>0</v>
      </c>
      <c r="M50" s="79"/>
      <c r="N50" s="19">
        <f>N44+L50</f>
        <v>0</v>
      </c>
      <c r="O50" s="79"/>
      <c r="P50" s="79"/>
      <c r="Q50" s="124">
        <f>C50+0.5</f>
        <v>6</v>
      </c>
      <c r="R50" s="190">
        <f>IF($C$13="Yes",0,IF(Q50&gt;D50,0,E50*(D50-Q50)/D50))</f>
        <v>0</v>
      </c>
      <c r="S50" s="79">
        <f t="shared" ref="S50" si="16">L50</f>
        <v>0</v>
      </c>
    </row>
    <row r="51" spans="1:19" ht="12.5" x14ac:dyDescent="0.25">
      <c r="A51" s="17"/>
      <c r="B51" s="134"/>
      <c r="C51" s="135"/>
      <c r="D51" s="136"/>
      <c r="E51" s="137"/>
      <c r="F51" s="137"/>
      <c r="G51" s="137"/>
      <c r="H51" s="38"/>
      <c r="I51" s="38"/>
      <c r="J51" s="38"/>
      <c r="K51" s="38"/>
      <c r="L51" s="38"/>
      <c r="M51" s="38"/>
      <c r="O51" s="38"/>
      <c r="P51" s="38"/>
      <c r="Q51" s="138"/>
      <c r="R51" s="38"/>
      <c r="S51" s="38"/>
    </row>
    <row r="52" spans="1:19" ht="23" x14ac:dyDescent="0.25">
      <c r="A52" s="19"/>
      <c r="B52" s="2"/>
      <c r="C52" s="37"/>
      <c r="D52" s="117"/>
      <c r="E52" s="117"/>
      <c r="F52" s="117"/>
      <c r="G52" s="117"/>
      <c r="H52" s="118" t="s">
        <v>12</v>
      </c>
      <c r="I52" s="119"/>
      <c r="J52" s="118" t="s">
        <v>11</v>
      </c>
      <c r="K52" s="118" t="s">
        <v>10</v>
      </c>
      <c r="L52" s="119"/>
      <c r="M52" s="40"/>
      <c r="N52" s="19">
        <f>N46+L52</f>
        <v>0</v>
      </c>
      <c r="O52" s="36"/>
      <c r="P52" s="36"/>
      <c r="Q52" s="37"/>
      <c r="R52" s="37"/>
      <c r="S52" s="37"/>
    </row>
    <row r="53" spans="1:19" ht="15.5" x14ac:dyDescent="0.25">
      <c r="A53" s="93" t="s">
        <v>8</v>
      </c>
      <c r="B53" s="111">
        <f>B47+1</f>
        <v>7</v>
      </c>
      <c r="C53" s="37"/>
      <c r="D53" s="117"/>
      <c r="E53" s="251"/>
      <c r="F53" s="251"/>
      <c r="G53" s="120"/>
      <c r="H53" s="121">
        <f>IF($C$13="Yes",0,IF(SUM($C$10+B53)&lt;=2020,"6%",VLOOKUP($C$6&amp;SUM($C$10+B53),Data!$C:$D,2,FALSE)))</f>
        <v>0</v>
      </c>
      <c r="I53" s="117"/>
      <c r="J53" s="121">
        <f>VLOOKUP(C54,Data!$F:$I,3,FALSE)</f>
        <v>3.8E-3</v>
      </c>
      <c r="K53" s="121">
        <f>VLOOKUP(C54,Data!$F:$I,4,FALSE)</f>
        <v>1.06E-2</v>
      </c>
      <c r="L53" s="117"/>
      <c r="M53" s="37"/>
      <c r="N53" s="19">
        <f>N47+L53</f>
        <v>0</v>
      </c>
      <c r="O53" s="121" t="s">
        <v>53</v>
      </c>
      <c r="P53" s="121" t="s">
        <v>54</v>
      </c>
      <c r="Q53" s="122"/>
      <c r="R53" s="37"/>
      <c r="S53" s="37"/>
    </row>
    <row r="54" spans="1:19" x14ac:dyDescent="0.25">
      <c r="A54" s="17"/>
      <c r="B54" s="70" t="s">
        <v>6</v>
      </c>
      <c r="C54" s="70">
        <f>C48+1</f>
        <v>2034</v>
      </c>
      <c r="D54" s="70" t="s">
        <v>5</v>
      </c>
      <c r="E54" s="70" t="s">
        <v>9</v>
      </c>
      <c r="F54" s="70" t="s">
        <v>7</v>
      </c>
      <c r="G54" s="70" t="s">
        <v>1</v>
      </c>
      <c r="H54" s="70" t="s">
        <v>0</v>
      </c>
      <c r="I54" s="70" t="s">
        <v>5</v>
      </c>
      <c r="J54" s="70" t="s">
        <v>3</v>
      </c>
      <c r="K54" s="70" t="s">
        <v>2</v>
      </c>
      <c r="L54" s="70" t="s">
        <v>4</v>
      </c>
      <c r="M54" s="70" t="s">
        <v>13</v>
      </c>
      <c r="N54" s="20"/>
      <c r="O54" s="70" t="s">
        <v>26</v>
      </c>
      <c r="P54" s="70" t="s">
        <v>26</v>
      </c>
      <c r="Q54" s="70" t="s">
        <v>27</v>
      </c>
      <c r="R54" s="70" t="s">
        <v>28</v>
      </c>
      <c r="S54" s="70" t="s">
        <v>29</v>
      </c>
    </row>
    <row r="55" spans="1:19" ht="12.5" x14ac:dyDescent="0.25">
      <c r="A55" s="17" t="str">
        <f>B55&amp;$B$53</f>
        <v>Cap Con on Completion Type 17</v>
      </c>
      <c r="B55" s="83" t="str">
        <f>B49</f>
        <v>Cap Con on Completion Type 1</v>
      </c>
      <c r="C55" s="113">
        <f>C49+1</f>
        <v>6.5</v>
      </c>
      <c r="D55" s="115">
        <f>D49</f>
        <v>40</v>
      </c>
      <c r="E55" s="81">
        <f>E49*SUM(VLOOKUP(SUM($C$10+B47),Data!$F:$G,2,FALSE))</f>
        <v>24379883.312733512</v>
      </c>
      <c r="F55" s="81">
        <f>E55</f>
        <v>24379883.312733512</v>
      </c>
      <c r="G55" s="81">
        <f>IF($C$13="Yes",0,IF(C55&gt;D55,0,E55*(D55-C55)/D55))</f>
        <v>0</v>
      </c>
      <c r="H55" s="82">
        <f>IF(C55&gt;D55,0,G55*H53)</f>
        <v>0</v>
      </c>
      <c r="I55" s="130">
        <f>IF($C$13="Yes",0,IF(C55&gt;D55,0,E55*1/D55))</f>
        <v>0</v>
      </c>
      <c r="J55" s="82">
        <f>E55*J53</f>
        <v>92643.55658838735</v>
      </c>
      <c r="K55" s="82">
        <f>E55*K53</f>
        <v>258426.76311497524</v>
      </c>
      <c r="L55" s="82">
        <f t="shared" ref="L55:L56" si="17">SUM(H55:K55)</f>
        <v>351070.31970336259</v>
      </c>
      <c r="M55" s="82">
        <f>L55+L56</f>
        <v>351070.31970336259</v>
      </c>
      <c r="N55" s="19">
        <f>N49+L55</f>
        <v>2051135.9190171522</v>
      </c>
      <c r="O55" s="82">
        <f>SUM(R55:S56)</f>
        <v>351070.31970336259</v>
      </c>
      <c r="P55" s="82">
        <f>SUM(S55:S56)/2+SUM(R55:R56)</f>
        <v>175535.1598516813</v>
      </c>
      <c r="Q55" s="123">
        <f>C55+0.5</f>
        <v>7</v>
      </c>
      <c r="R55" s="189">
        <f>IF($C$13="Yes",0,IF(Q55&gt;D55,0,E55*(D55-Q55)/D55))</f>
        <v>0</v>
      </c>
      <c r="S55" s="82">
        <f>L55</f>
        <v>351070.31970336259</v>
      </c>
    </row>
    <row r="56" spans="1:19" ht="12.5" x14ac:dyDescent="0.25">
      <c r="A56" s="17" t="str">
        <f>B56&amp;$B$53</f>
        <v>Cap Con on Completion Type 17</v>
      </c>
      <c r="B56" s="84" t="str">
        <f>B50</f>
        <v>Cap Con on Completion Type 1</v>
      </c>
      <c r="C56" s="114">
        <f>C50+1</f>
        <v>6.5</v>
      </c>
      <c r="D56" s="116">
        <f>D50</f>
        <v>0</v>
      </c>
      <c r="E56" s="78">
        <f>E50*SUM(VLOOKUP(SUM($C$10+B47),Data!$F:$G,2,FALSE))</f>
        <v>0</v>
      </c>
      <c r="F56" s="78">
        <f t="shared" ref="F56" si="18">E56</f>
        <v>0</v>
      </c>
      <c r="G56" s="78">
        <f>IF($C$13="Yes",0,IF(C56&gt;D56,0,E56*(D56-C56)/D56))</f>
        <v>0</v>
      </c>
      <c r="H56" s="79">
        <f>IF(C56&gt;D56,0,G56*H53)</f>
        <v>0</v>
      </c>
      <c r="I56" s="131">
        <f>IF($C$13="Yes",0,IF(C56&gt;D56,0,E56*1/D56))</f>
        <v>0</v>
      </c>
      <c r="J56" s="79">
        <f>E56*J53</f>
        <v>0</v>
      </c>
      <c r="K56" s="79">
        <f>E56*K53</f>
        <v>0</v>
      </c>
      <c r="L56" s="79">
        <f t="shared" si="17"/>
        <v>0</v>
      </c>
      <c r="M56" s="79"/>
      <c r="N56" s="19">
        <f>N50+L56</f>
        <v>0</v>
      </c>
      <c r="O56" s="79"/>
      <c r="P56" s="79"/>
      <c r="Q56" s="124">
        <f>C56+0.5</f>
        <v>7</v>
      </c>
      <c r="R56" s="190">
        <f>IF($C$13="Yes",0,IF(Q56&gt;D56,0,E56*(D56-Q56)/D56))</f>
        <v>0</v>
      </c>
      <c r="S56" s="79">
        <f t="shared" ref="S56" si="19">L56</f>
        <v>0</v>
      </c>
    </row>
    <row r="57" spans="1:19" ht="12.5" x14ac:dyDescent="0.25">
      <c r="A57" s="17"/>
      <c r="B57" s="134"/>
      <c r="C57" s="135"/>
      <c r="D57" s="136"/>
      <c r="E57" s="137"/>
      <c r="F57" s="137"/>
      <c r="G57" s="137"/>
      <c r="H57" s="38"/>
      <c r="I57" s="38"/>
      <c r="J57" s="38"/>
      <c r="K57" s="38"/>
      <c r="L57" s="38"/>
      <c r="M57" s="38"/>
      <c r="O57" s="38"/>
      <c r="P57" s="38"/>
      <c r="Q57" s="138"/>
      <c r="R57" s="38"/>
      <c r="S57" s="38"/>
    </row>
    <row r="58" spans="1:19" ht="23" x14ac:dyDescent="0.25">
      <c r="A58" s="19"/>
      <c r="B58" s="2"/>
      <c r="C58" s="37"/>
      <c r="D58" s="117"/>
      <c r="E58" s="117"/>
      <c r="F58" s="117"/>
      <c r="G58" s="117"/>
      <c r="H58" s="118" t="s">
        <v>12</v>
      </c>
      <c r="I58" s="119"/>
      <c r="J58" s="118" t="s">
        <v>11</v>
      </c>
      <c r="K58" s="118" t="s">
        <v>10</v>
      </c>
      <c r="L58" s="119"/>
      <c r="M58" s="40"/>
      <c r="N58" s="19">
        <f>N52+L58</f>
        <v>0</v>
      </c>
      <c r="O58" s="36"/>
      <c r="P58" s="36"/>
      <c r="Q58" s="37"/>
      <c r="R58" s="37"/>
      <c r="S58" s="37"/>
    </row>
    <row r="59" spans="1:19" ht="15.5" x14ac:dyDescent="0.25">
      <c r="A59" s="93" t="s">
        <v>8</v>
      </c>
      <c r="B59" s="111">
        <f>B53+1</f>
        <v>8</v>
      </c>
      <c r="C59" s="37"/>
      <c r="D59" s="117"/>
      <c r="E59" s="251"/>
      <c r="F59" s="251"/>
      <c r="G59" s="120"/>
      <c r="H59" s="121">
        <f>IF($C$13="Yes",0,IF(SUM($C$10+B59)&lt;=2020,"6%",VLOOKUP($C$6&amp;SUM($C$10+B59),Data!$C:$D,2,FALSE)))</f>
        <v>0</v>
      </c>
      <c r="I59" s="117"/>
      <c r="J59" s="121">
        <f>VLOOKUP(C60,Data!$F:$I,3,FALSE)</f>
        <v>3.8E-3</v>
      </c>
      <c r="K59" s="121">
        <f>VLOOKUP(C60,Data!$F:$I,4,FALSE)</f>
        <v>1.06E-2</v>
      </c>
      <c r="L59" s="117"/>
      <c r="M59" s="37"/>
      <c r="N59" s="19">
        <f>N53+L59</f>
        <v>0</v>
      </c>
      <c r="O59" s="121" t="s">
        <v>53</v>
      </c>
      <c r="P59" s="121" t="s">
        <v>54</v>
      </c>
      <c r="Q59" s="122"/>
      <c r="R59" s="37"/>
      <c r="S59" s="37"/>
    </row>
    <row r="60" spans="1:19" x14ac:dyDescent="0.25">
      <c r="A60" s="17"/>
      <c r="B60" s="70" t="s">
        <v>6</v>
      </c>
      <c r="C60" s="70">
        <f>C54+1</f>
        <v>2035</v>
      </c>
      <c r="D60" s="70" t="s">
        <v>5</v>
      </c>
      <c r="E60" s="70" t="s">
        <v>9</v>
      </c>
      <c r="F60" s="70" t="s">
        <v>7</v>
      </c>
      <c r="G60" s="70" t="s">
        <v>1</v>
      </c>
      <c r="H60" s="70" t="s">
        <v>0</v>
      </c>
      <c r="I60" s="70" t="s">
        <v>5</v>
      </c>
      <c r="J60" s="70" t="s">
        <v>3</v>
      </c>
      <c r="K60" s="70" t="s">
        <v>2</v>
      </c>
      <c r="L60" s="70" t="s">
        <v>4</v>
      </c>
      <c r="M60" s="70" t="s">
        <v>13</v>
      </c>
      <c r="N60" s="20"/>
      <c r="O60" s="70" t="s">
        <v>26</v>
      </c>
      <c r="P60" s="70" t="s">
        <v>26</v>
      </c>
      <c r="Q60" s="70" t="s">
        <v>27</v>
      </c>
      <c r="R60" s="70" t="s">
        <v>28</v>
      </c>
      <c r="S60" s="70" t="s">
        <v>29</v>
      </c>
    </row>
    <row r="61" spans="1:19" ht="12.5" x14ac:dyDescent="0.25">
      <c r="A61" s="17" t="str">
        <f>B61&amp;$B$59</f>
        <v>Cap Con on Completion Type 18</v>
      </c>
      <c r="B61" s="83" t="str">
        <f>B55</f>
        <v>Cap Con on Completion Type 1</v>
      </c>
      <c r="C61" s="113">
        <f>C55+1</f>
        <v>7.5</v>
      </c>
      <c r="D61" s="115">
        <f>D55</f>
        <v>40</v>
      </c>
      <c r="E61" s="81">
        <f>E55*SUM(VLOOKUP(SUM($C$10+B53),Data!$F:$G,2,FALSE))</f>
        <v>25962137.739729915</v>
      </c>
      <c r="F61" s="81">
        <f>E61</f>
        <v>25962137.739729915</v>
      </c>
      <c r="G61" s="81">
        <f>IF($C$13="Yes",0,IF(C61&gt;D61,0,E61*(D61-C61)/D61))</f>
        <v>0</v>
      </c>
      <c r="H61" s="82">
        <f>IF(C61&gt;D61,0,G61*H59)</f>
        <v>0</v>
      </c>
      <c r="I61" s="130">
        <f>IF($C$13="Yes",0,IF(C61&gt;D61,0,E61*1/D61))</f>
        <v>0</v>
      </c>
      <c r="J61" s="82">
        <f>E61*J59</f>
        <v>98656.123410973683</v>
      </c>
      <c r="K61" s="82">
        <f>E61*K59</f>
        <v>275198.66004113707</v>
      </c>
      <c r="L61" s="82">
        <f t="shared" ref="L61:L62" si="20">SUM(H61:K61)</f>
        <v>373854.78345211077</v>
      </c>
      <c r="M61" s="82">
        <f>L61+L62</f>
        <v>373854.78345211077</v>
      </c>
      <c r="N61" s="19">
        <f>N55+L61</f>
        <v>2424990.7024692628</v>
      </c>
      <c r="O61" s="82">
        <f>SUM(R61:S62)</f>
        <v>373854.78345211077</v>
      </c>
      <c r="P61" s="82">
        <f>SUM(S61:S62)/2+SUM(R61:R62)</f>
        <v>186927.39172605539</v>
      </c>
      <c r="Q61" s="123">
        <f>C61+0.5</f>
        <v>8</v>
      </c>
      <c r="R61" s="189">
        <f>IF($C$13="Yes",0,IF(Q61&gt;D61,0,E61*(D61-Q61)/D61))</f>
        <v>0</v>
      </c>
      <c r="S61" s="82">
        <f>L61</f>
        <v>373854.78345211077</v>
      </c>
    </row>
    <row r="62" spans="1:19" ht="12.5" x14ac:dyDescent="0.25">
      <c r="A62" s="17" t="str">
        <f>B62&amp;$B$59</f>
        <v>Cap Con on Completion Type 18</v>
      </c>
      <c r="B62" s="84" t="str">
        <f>B56</f>
        <v>Cap Con on Completion Type 1</v>
      </c>
      <c r="C62" s="114">
        <f>C56+1</f>
        <v>7.5</v>
      </c>
      <c r="D62" s="116">
        <f>D56</f>
        <v>0</v>
      </c>
      <c r="E62" s="78">
        <f>E56*SUM(VLOOKUP(SUM($C$10+B53),Data!$F:$G,2,FALSE))</f>
        <v>0</v>
      </c>
      <c r="F62" s="78">
        <f t="shared" ref="F62" si="21">E62</f>
        <v>0</v>
      </c>
      <c r="G62" s="78">
        <f>IF($C$13="Yes",0,IF(C62&gt;D62,0,E62*(D62-C62)/D62))</f>
        <v>0</v>
      </c>
      <c r="H62" s="79">
        <f>IF(C62&gt;D62,0,G62*H59)</f>
        <v>0</v>
      </c>
      <c r="I62" s="131">
        <f>IF($C$13="Yes",0,IF(C62&gt;D62,0,E62*1/D62))</f>
        <v>0</v>
      </c>
      <c r="J62" s="79">
        <f>E62*J59</f>
        <v>0</v>
      </c>
      <c r="K62" s="79">
        <f>E62*K59</f>
        <v>0</v>
      </c>
      <c r="L62" s="79">
        <f t="shared" si="20"/>
        <v>0</v>
      </c>
      <c r="M62" s="79"/>
      <c r="N62" s="19">
        <f>N56+L62</f>
        <v>0</v>
      </c>
      <c r="O62" s="79"/>
      <c r="P62" s="79"/>
      <c r="Q62" s="124">
        <f>C62+0.5</f>
        <v>8</v>
      </c>
      <c r="R62" s="190">
        <f>IF($C$13="Yes",0,IF(Q62&gt;D62,0,E62*(D62-Q62)/D62))</f>
        <v>0</v>
      </c>
      <c r="S62" s="79">
        <f t="shared" ref="S62" si="22">L62</f>
        <v>0</v>
      </c>
    </row>
    <row r="63" spans="1:19" ht="12.5" x14ac:dyDescent="0.25">
      <c r="A63" s="17"/>
      <c r="B63" s="134"/>
      <c r="C63" s="135"/>
      <c r="D63" s="136"/>
      <c r="E63" s="137"/>
      <c r="F63" s="137"/>
      <c r="G63" s="137"/>
      <c r="H63" s="38"/>
      <c r="I63" s="38"/>
      <c r="J63" s="38"/>
      <c r="K63" s="38"/>
      <c r="L63" s="38"/>
      <c r="M63" s="38"/>
      <c r="O63" s="38"/>
      <c r="P63" s="38"/>
      <c r="Q63" s="138"/>
      <c r="R63" s="38"/>
      <c r="S63" s="38"/>
    </row>
    <row r="64" spans="1:19" ht="23" x14ac:dyDescent="0.25">
      <c r="A64" s="19"/>
      <c r="B64" s="2"/>
      <c r="C64" s="37"/>
      <c r="D64" s="117"/>
      <c r="E64" s="117"/>
      <c r="F64" s="117"/>
      <c r="G64" s="117"/>
      <c r="H64" s="118" t="s">
        <v>12</v>
      </c>
      <c r="I64" s="119"/>
      <c r="J64" s="118" t="s">
        <v>11</v>
      </c>
      <c r="K64" s="118" t="s">
        <v>10</v>
      </c>
      <c r="L64" s="119"/>
      <c r="M64" s="40"/>
      <c r="N64" s="19">
        <f>N58+L64</f>
        <v>0</v>
      </c>
      <c r="O64" s="36"/>
      <c r="P64" s="36"/>
      <c r="Q64" s="37"/>
      <c r="R64" s="37"/>
      <c r="S64" s="37"/>
    </row>
    <row r="65" spans="1:19" ht="15.5" x14ac:dyDescent="0.25">
      <c r="A65" s="93" t="s">
        <v>8</v>
      </c>
      <c r="B65" s="111">
        <f>B59+1</f>
        <v>9</v>
      </c>
      <c r="C65" s="37"/>
      <c r="D65" s="117"/>
      <c r="E65" s="251"/>
      <c r="F65" s="251"/>
      <c r="G65" s="120"/>
      <c r="H65" s="121">
        <f>IF($C$13="Yes",0,IF(SUM($C$10+B65)&lt;=2020,"6%",VLOOKUP($C$6&amp;SUM($C$10+B65),Data!$C:$D,2,FALSE)))</f>
        <v>0</v>
      </c>
      <c r="I65" s="117"/>
      <c r="J65" s="121">
        <f>VLOOKUP(C66,Data!$F:$I,3,FALSE)</f>
        <v>3.8E-3</v>
      </c>
      <c r="K65" s="121">
        <f>VLOOKUP(C66,Data!$F:$I,4,FALSE)</f>
        <v>1.06E-2</v>
      </c>
      <c r="L65" s="117"/>
      <c r="M65" s="37"/>
      <c r="N65" s="19">
        <f>N59+L65</f>
        <v>0</v>
      </c>
      <c r="O65" s="121" t="s">
        <v>53</v>
      </c>
      <c r="P65" s="121" t="s">
        <v>54</v>
      </c>
      <c r="Q65" s="122"/>
      <c r="R65" s="37"/>
      <c r="S65" s="37"/>
    </row>
    <row r="66" spans="1:19" x14ac:dyDescent="0.25">
      <c r="A66" s="17"/>
      <c r="B66" s="70" t="s">
        <v>6</v>
      </c>
      <c r="C66" s="70">
        <f>C60+1</f>
        <v>2036</v>
      </c>
      <c r="D66" s="70" t="s">
        <v>5</v>
      </c>
      <c r="E66" s="70" t="s">
        <v>9</v>
      </c>
      <c r="F66" s="70" t="s">
        <v>7</v>
      </c>
      <c r="G66" s="70" t="s">
        <v>1</v>
      </c>
      <c r="H66" s="70" t="s">
        <v>0</v>
      </c>
      <c r="I66" s="70" t="s">
        <v>5</v>
      </c>
      <c r="J66" s="70" t="s">
        <v>3</v>
      </c>
      <c r="K66" s="70" t="s">
        <v>2</v>
      </c>
      <c r="L66" s="70" t="s">
        <v>4</v>
      </c>
      <c r="M66" s="70" t="s">
        <v>13</v>
      </c>
      <c r="N66" s="20"/>
      <c r="O66" s="70" t="s">
        <v>26</v>
      </c>
      <c r="P66" s="70" t="s">
        <v>26</v>
      </c>
      <c r="Q66" s="70" t="s">
        <v>27</v>
      </c>
      <c r="R66" s="70" t="s">
        <v>28</v>
      </c>
      <c r="S66" s="70" t="s">
        <v>29</v>
      </c>
    </row>
    <row r="67" spans="1:19" ht="12.5" x14ac:dyDescent="0.25">
      <c r="A67" s="17" t="str">
        <f>B67&amp;$B$65</f>
        <v>Cap Con on Completion Type 19</v>
      </c>
      <c r="B67" s="83" t="str">
        <f>B61</f>
        <v>Cap Con on Completion Type 1</v>
      </c>
      <c r="C67" s="113">
        <f>C61+1</f>
        <v>8.5</v>
      </c>
      <c r="D67" s="115">
        <f>D61</f>
        <v>40</v>
      </c>
      <c r="E67" s="81">
        <f>E61*SUM(VLOOKUP(SUM($C$10+B59),Data!$F:$G,2,FALSE))</f>
        <v>27647080.479038384</v>
      </c>
      <c r="F67" s="81">
        <f>E67</f>
        <v>27647080.479038384</v>
      </c>
      <c r="G67" s="81">
        <f>IF($C$13="Yes",0,IF(C67&gt;D67,0,E67*(D67-C67)/D67))</f>
        <v>0</v>
      </c>
      <c r="H67" s="82">
        <f>IF(C67&gt;D67,0,G67*H65)</f>
        <v>0</v>
      </c>
      <c r="I67" s="130">
        <f>IF($C$13="Yes",0,IF(C67&gt;D67,0,E67*1/D67))</f>
        <v>0</v>
      </c>
      <c r="J67" s="82">
        <f>E67*J65</f>
        <v>105058.90582034586</v>
      </c>
      <c r="K67" s="82">
        <f>E67*K65</f>
        <v>293059.05307780689</v>
      </c>
      <c r="L67" s="82">
        <f t="shared" ref="L67:L68" si="23">SUM(H67:K67)</f>
        <v>398117.95889815275</v>
      </c>
      <c r="M67" s="82">
        <f>L67+L68</f>
        <v>398117.95889815275</v>
      </c>
      <c r="N67" s="19">
        <f>N61+L67</f>
        <v>2823108.6613674155</v>
      </c>
      <c r="O67" s="82">
        <f>SUM(R67:S68)</f>
        <v>398117.95889815275</v>
      </c>
      <c r="P67" s="82">
        <f>SUM(S67:S68)/2+SUM(R67:R68)</f>
        <v>199058.97944907637</v>
      </c>
      <c r="Q67" s="123">
        <f>C67+0.5</f>
        <v>9</v>
      </c>
      <c r="R67" s="189">
        <f>IF($C$13="Yes",0,IF(Q67&gt;D67,0,E67*(D67-Q67)/D67))</f>
        <v>0</v>
      </c>
      <c r="S67" s="82">
        <f>L67</f>
        <v>398117.95889815275</v>
      </c>
    </row>
    <row r="68" spans="1:19" ht="12.5" x14ac:dyDescent="0.25">
      <c r="A68" s="17" t="str">
        <f>B68&amp;$B$65</f>
        <v>Cap Con on Completion Type 19</v>
      </c>
      <c r="B68" s="84" t="str">
        <f>B62</f>
        <v>Cap Con on Completion Type 1</v>
      </c>
      <c r="C68" s="114">
        <f>C62+1</f>
        <v>8.5</v>
      </c>
      <c r="D68" s="116">
        <f>D62</f>
        <v>0</v>
      </c>
      <c r="E68" s="78">
        <f>E62*SUM(VLOOKUP(SUM($C$10+B59),Data!$F:$G,2,FALSE))</f>
        <v>0</v>
      </c>
      <c r="F68" s="78">
        <f t="shared" ref="F68" si="24">E68</f>
        <v>0</v>
      </c>
      <c r="G68" s="78">
        <f>IF($C$13="Yes",0,IF(C68&gt;D68,0,E68*(D68-C68)/D68))</f>
        <v>0</v>
      </c>
      <c r="H68" s="79">
        <f>IF(C68&gt;D68,0,G68*H65)</f>
        <v>0</v>
      </c>
      <c r="I68" s="131">
        <f>IF($C$13="Yes",0,IF(C68&gt;D68,0,E68*1/D68))</f>
        <v>0</v>
      </c>
      <c r="J68" s="79">
        <f>E68*J65</f>
        <v>0</v>
      </c>
      <c r="K68" s="79">
        <f>E68*K65</f>
        <v>0</v>
      </c>
      <c r="L68" s="79">
        <f t="shared" si="23"/>
        <v>0</v>
      </c>
      <c r="M68" s="79"/>
      <c r="N68" s="19">
        <f>N62+L68</f>
        <v>0</v>
      </c>
      <c r="O68" s="79"/>
      <c r="P68" s="79"/>
      <c r="Q68" s="124">
        <f>C68+0.5</f>
        <v>9</v>
      </c>
      <c r="R68" s="190">
        <f>IF($C$13="Yes",0,IF(Q68&gt;D68,0,E68*(D68-Q68)/D68))</f>
        <v>0</v>
      </c>
      <c r="S68" s="79">
        <f t="shared" ref="S68" si="25">L68</f>
        <v>0</v>
      </c>
    </row>
    <row r="69" spans="1:19" ht="12.5" x14ac:dyDescent="0.25">
      <c r="A69" s="17"/>
      <c r="B69" s="134"/>
      <c r="C69" s="135"/>
      <c r="D69" s="136"/>
      <c r="E69" s="137"/>
      <c r="F69" s="137"/>
      <c r="G69" s="137"/>
      <c r="H69" s="38"/>
      <c r="I69" s="38"/>
      <c r="J69" s="38"/>
      <c r="K69" s="38"/>
      <c r="L69" s="38"/>
      <c r="M69" s="38"/>
      <c r="O69" s="38"/>
      <c r="P69" s="38"/>
      <c r="Q69" s="138"/>
      <c r="R69" s="38"/>
      <c r="S69" s="38"/>
    </row>
    <row r="70" spans="1:19" ht="23" x14ac:dyDescent="0.25">
      <c r="A70" s="19"/>
      <c r="B70" s="2"/>
      <c r="C70" s="37"/>
      <c r="D70" s="117"/>
      <c r="E70" s="117"/>
      <c r="F70" s="117"/>
      <c r="G70" s="117"/>
      <c r="H70" s="118" t="s">
        <v>12</v>
      </c>
      <c r="I70" s="119"/>
      <c r="J70" s="118" t="s">
        <v>11</v>
      </c>
      <c r="K70" s="118" t="s">
        <v>10</v>
      </c>
      <c r="L70" s="119"/>
      <c r="M70" s="40"/>
      <c r="N70" s="19">
        <f>N64+L70</f>
        <v>0</v>
      </c>
      <c r="O70" s="36"/>
      <c r="P70" s="36"/>
      <c r="Q70" s="37"/>
      <c r="R70" s="37"/>
      <c r="S70" s="37"/>
    </row>
    <row r="71" spans="1:19" ht="15.5" x14ac:dyDescent="0.25">
      <c r="A71" s="93" t="s">
        <v>8</v>
      </c>
      <c r="B71" s="111">
        <f>B65+1</f>
        <v>10</v>
      </c>
      <c r="C71" s="37"/>
      <c r="D71" s="117"/>
      <c r="E71" s="251"/>
      <c r="F71" s="251"/>
      <c r="G71" s="120"/>
      <c r="H71" s="121">
        <f>IF($C$13="Yes",0,IF(SUM($C$10+B71)&lt;=2020,"6%",VLOOKUP($C$6&amp;SUM($C$10+B71),Data!$C:$D,2,FALSE)))</f>
        <v>0</v>
      </c>
      <c r="I71" s="117"/>
      <c r="J71" s="121">
        <f>VLOOKUP(C72,Data!$F:$I,3,FALSE)</f>
        <v>3.8E-3</v>
      </c>
      <c r="K71" s="121">
        <f>VLOOKUP(C72,Data!$F:$I,4,FALSE)</f>
        <v>1.06E-2</v>
      </c>
      <c r="L71" s="117"/>
      <c r="M71" s="37"/>
      <c r="N71" s="19">
        <f>N65+L71</f>
        <v>0</v>
      </c>
      <c r="O71" s="121" t="s">
        <v>53</v>
      </c>
      <c r="P71" s="121" t="s">
        <v>54</v>
      </c>
      <c r="Q71" s="122"/>
      <c r="R71" s="37"/>
      <c r="S71" s="37"/>
    </row>
    <row r="72" spans="1:19" x14ac:dyDescent="0.25">
      <c r="A72" s="17"/>
      <c r="B72" s="70" t="s">
        <v>6</v>
      </c>
      <c r="C72" s="70">
        <f>C66+1</f>
        <v>2037</v>
      </c>
      <c r="D72" s="70" t="s">
        <v>5</v>
      </c>
      <c r="E72" s="70" t="s">
        <v>9</v>
      </c>
      <c r="F72" s="70" t="s">
        <v>7</v>
      </c>
      <c r="G72" s="70" t="s">
        <v>1</v>
      </c>
      <c r="H72" s="70" t="s">
        <v>0</v>
      </c>
      <c r="I72" s="70" t="s">
        <v>5</v>
      </c>
      <c r="J72" s="70" t="s">
        <v>3</v>
      </c>
      <c r="K72" s="70" t="s">
        <v>2</v>
      </c>
      <c r="L72" s="70" t="s">
        <v>4</v>
      </c>
      <c r="M72" s="70" t="s">
        <v>13</v>
      </c>
      <c r="N72" s="20"/>
      <c r="O72" s="70" t="s">
        <v>26</v>
      </c>
      <c r="P72" s="70" t="s">
        <v>26</v>
      </c>
      <c r="Q72" s="70" t="s">
        <v>27</v>
      </c>
      <c r="R72" s="70" t="s">
        <v>28</v>
      </c>
      <c r="S72" s="70" t="s">
        <v>29</v>
      </c>
    </row>
    <row r="73" spans="1:19" ht="12.5" x14ac:dyDescent="0.25">
      <c r="A73" s="17" t="str">
        <f>B73&amp;$B$71</f>
        <v>Cap Con on Completion Type 110</v>
      </c>
      <c r="B73" s="83" t="str">
        <f>B67</f>
        <v>Cap Con on Completion Type 1</v>
      </c>
      <c r="C73" s="113">
        <f>C67+1</f>
        <v>9.5</v>
      </c>
      <c r="D73" s="115">
        <f>D67</f>
        <v>40</v>
      </c>
      <c r="E73" s="81">
        <f>E67*SUM(VLOOKUP(SUM($C$10+B65),Data!$F:$G,2,FALSE))</f>
        <v>29441376.002127975</v>
      </c>
      <c r="F73" s="81">
        <f>E73</f>
        <v>29441376.002127975</v>
      </c>
      <c r="G73" s="81">
        <f>IF($C$13="Yes",0,IF(C73&gt;D73,0,E73*(D73-C73)/D73))</f>
        <v>0</v>
      </c>
      <c r="H73" s="82">
        <f>IF(C73&gt;D73,0,G73*H71)</f>
        <v>0</v>
      </c>
      <c r="I73" s="130">
        <f>IF($C$13="Yes",0,IF(C73&gt;D73,0,E73*1/D73))</f>
        <v>0</v>
      </c>
      <c r="J73" s="82">
        <f>E73*J71</f>
        <v>111877.22880808631</v>
      </c>
      <c r="K73" s="82">
        <f>E73*K71</f>
        <v>312078.58562255657</v>
      </c>
      <c r="L73" s="82">
        <f t="shared" ref="L73:L74" si="26">SUM(H73:K73)</f>
        <v>423955.81443064287</v>
      </c>
      <c r="M73" s="82">
        <f>L73+L74</f>
        <v>423955.81443064287</v>
      </c>
      <c r="N73" s="19">
        <f>N67+L73</f>
        <v>3247064.4757980583</v>
      </c>
      <c r="O73" s="82">
        <f>SUM(R73:S74)</f>
        <v>423955.81443064287</v>
      </c>
      <c r="P73" s="82">
        <f>SUM(S73:S74)/2+SUM(R73:R74)</f>
        <v>211977.90721532144</v>
      </c>
      <c r="Q73" s="123">
        <f>C73+0.5</f>
        <v>10</v>
      </c>
      <c r="R73" s="189">
        <f>IF($C$13="Yes",0,IF(Q73&gt;D73,0,E73*(D73-Q73)/D73))</f>
        <v>0</v>
      </c>
      <c r="S73" s="82">
        <f>L73</f>
        <v>423955.81443064287</v>
      </c>
    </row>
    <row r="74" spans="1:19" ht="17.149999999999999" customHeight="1" x14ac:dyDescent="0.25">
      <c r="A74" s="17" t="str">
        <f>B74&amp;$B$71</f>
        <v>Cap Con on Completion Type 110</v>
      </c>
      <c r="B74" s="84" t="str">
        <f>B68</f>
        <v>Cap Con on Completion Type 1</v>
      </c>
      <c r="C74" s="114">
        <f>C68+1</f>
        <v>9.5</v>
      </c>
      <c r="D74" s="116">
        <f>D68</f>
        <v>0</v>
      </c>
      <c r="E74" s="78">
        <f>E68*SUM(VLOOKUP(SUM($C$10+B65),Data!$F:$G,2,FALSE))</f>
        <v>0</v>
      </c>
      <c r="F74" s="78">
        <f t="shared" ref="F74" si="27">E74</f>
        <v>0</v>
      </c>
      <c r="G74" s="78">
        <f>IF($C$13="Yes",0,IF(C74&gt;D74,0,E74*(D74-C74)/D74))</f>
        <v>0</v>
      </c>
      <c r="H74" s="79">
        <f>IF(C74&gt;D74,0,G74*H71)</f>
        <v>0</v>
      </c>
      <c r="I74" s="131">
        <f>IF($C$13="Yes",0,IF(C74&gt;D74,0,E74*1/D74))</f>
        <v>0</v>
      </c>
      <c r="J74" s="79">
        <f>E74*J71</f>
        <v>0</v>
      </c>
      <c r="K74" s="79">
        <f>E74*K71</f>
        <v>0</v>
      </c>
      <c r="L74" s="79">
        <f t="shared" si="26"/>
        <v>0</v>
      </c>
      <c r="M74" s="79"/>
      <c r="N74" s="19">
        <f>N68+L74</f>
        <v>0</v>
      </c>
      <c r="O74" s="79"/>
      <c r="P74" s="79"/>
      <c r="Q74" s="124">
        <f>C74+0.5</f>
        <v>10</v>
      </c>
      <c r="R74" s="190">
        <f>IF($C$13="Yes",0,IF(Q74&gt;D74,0,E74*(D74-Q74)/D74))</f>
        <v>0</v>
      </c>
      <c r="S74" s="79">
        <f t="shared" ref="S74" si="28">L74</f>
        <v>0</v>
      </c>
    </row>
    <row r="75" spans="1:19" ht="17.149999999999999" customHeight="1" x14ac:dyDescent="0.25">
      <c r="A75" s="17"/>
      <c r="B75" s="134"/>
      <c r="C75" s="135"/>
      <c r="D75" s="136"/>
      <c r="E75" s="137"/>
      <c r="F75" s="137"/>
      <c r="G75" s="137"/>
      <c r="H75" s="38"/>
      <c r="I75" s="38"/>
      <c r="J75" s="38"/>
      <c r="K75" s="38"/>
      <c r="L75" s="38"/>
      <c r="M75" s="38"/>
      <c r="O75" s="38"/>
      <c r="P75" s="38"/>
      <c r="Q75" s="138"/>
      <c r="R75" s="38"/>
      <c r="S75" s="38"/>
    </row>
    <row r="76" spans="1:19" ht="23" x14ac:dyDescent="0.25">
      <c r="A76" s="19"/>
      <c r="B76" s="2"/>
      <c r="C76" s="37"/>
      <c r="D76" s="117"/>
      <c r="E76" s="117"/>
      <c r="F76" s="117"/>
      <c r="G76" s="117"/>
      <c r="H76" s="118" t="s">
        <v>12</v>
      </c>
      <c r="I76" s="119"/>
      <c r="J76" s="118" t="s">
        <v>11</v>
      </c>
      <c r="K76" s="118" t="s">
        <v>10</v>
      </c>
      <c r="L76" s="119"/>
      <c r="M76" s="40"/>
      <c r="N76" s="19">
        <f>N70+L76</f>
        <v>0</v>
      </c>
      <c r="O76" s="36"/>
      <c r="P76" s="36"/>
      <c r="Q76" s="37"/>
      <c r="R76" s="37"/>
      <c r="S76" s="37"/>
    </row>
    <row r="77" spans="1:19" ht="15.5" x14ac:dyDescent="0.25">
      <c r="A77" s="93" t="s">
        <v>8</v>
      </c>
      <c r="B77" s="111">
        <f>B71+1</f>
        <v>11</v>
      </c>
      <c r="C77" s="37"/>
      <c r="D77" s="117"/>
      <c r="E77" s="251"/>
      <c r="F77" s="251"/>
      <c r="G77" s="120"/>
      <c r="H77" s="121">
        <f>IF($C$13="Yes",0,IF(SUM($C$10+B77)&lt;=2020,"6%",VLOOKUP($C$6&amp;SUM($C$10+B77),Data!$C:$D,2,FALSE)))</f>
        <v>0</v>
      </c>
      <c r="I77" s="117"/>
      <c r="J77" s="121">
        <f>VLOOKUP(C78,Data!$F:$I,3,FALSE)</f>
        <v>3.8E-3</v>
      </c>
      <c r="K77" s="121">
        <f>VLOOKUP(C78,Data!$F:$I,4,FALSE)</f>
        <v>1.06E-2</v>
      </c>
      <c r="L77" s="117"/>
      <c r="M77" s="37"/>
      <c r="N77" s="19">
        <f>N71+L77</f>
        <v>0</v>
      </c>
      <c r="O77" s="121" t="s">
        <v>53</v>
      </c>
      <c r="P77" s="121" t="s">
        <v>54</v>
      </c>
      <c r="Q77" s="122"/>
      <c r="R77" s="37"/>
      <c r="S77" s="37"/>
    </row>
    <row r="78" spans="1:19" x14ac:dyDescent="0.25">
      <c r="A78" s="17"/>
      <c r="B78" s="70" t="s">
        <v>6</v>
      </c>
      <c r="C78" s="70">
        <f>C72+1</f>
        <v>2038</v>
      </c>
      <c r="D78" s="70" t="s">
        <v>5</v>
      </c>
      <c r="E78" s="70" t="s">
        <v>9</v>
      </c>
      <c r="F78" s="70" t="s">
        <v>7</v>
      </c>
      <c r="G78" s="70" t="s">
        <v>1</v>
      </c>
      <c r="H78" s="70" t="s">
        <v>0</v>
      </c>
      <c r="I78" s="70" t="s">
        <v>5</v>
      </c>
      <c r="J78" s="70" t="s">
        <v>3</v>
      </c>
      <c r="K78" s="70" t="s">
        <v>2</v>
      </c>
      <c r="L78" s="70" t="s">
        <v>4</v>
      </c>
      <c r="M78" s="70" t="s">
        <v>13</v>
      </c>
      <c r="N78" s="20"/>
      <c r="O78" s="70" t="s">
        <v>26</v>
      </c>
      <c r="P78" s="70" t="s">
        <v>26</v>
      </c>
      <c r="Q78" s="70" t="s">
        <v>27</v>
      </c>
      <c r="R78" s="70" t="s">
        <v>28</v>
      </c>
      <c r="S78" s="70" t="s">
        <v>29</v>
      </c>
    </row>
    <row r="79" spans="1:19" ht="12.5" x14ac:dyDescent="0.25">
      <c r="A79" s="17" t="str">
        <f>B79&amp;$B$77</f>
        <v>Cap Con on Completion Type 111</v>
      </c>
      <c r="B79" s="83" t="str">
        <f>B73</f>
        <v>Cap Con on Completion Type 1</v>
      </c>
      <c r="C79" s="113">
        <f>C73+1</f>
        <v>10.5</v>
      </c>
      <c r="D79" s="115">
        <f>D73</f>
        <v>40</v>
      </c>
      <c r="E79" s="81">
        <f>E73*SUM(VLOOKUP(SUM($C$10+B71),Data!$F:$G,2,FALSE))</f>
        <v>31352121.30466608</v>
      </c>
      <c r="F79" s="81">
        <f>E79</f>
        <v>31352121.30466608</v>
      </c>
      <c r="G79" s="81">
        <f>IF($C$13="Yes",0,IF(C79&gt;D79,0,E79*(D79-C79)/D79))</f>
        <v>0</v>
      </c>
      <c r="H79" s="82">
        <f>IF(C79&gt;D79,0,G79*H77)</f>
        <v>0</v>
      </c>
      <c r="I79" s="130">
        <f>IF($C$13="Yes",0,IF(C79&gt;D79,0,E79*1/D79))</f>
        <v>0</v>
      </c>
      <c r="J79" s="82">
        <f>E79*J77</f>
        <v>119138.0609577311</v>
      </c>
      <c r="K79" s="82">
        <f>E79*K77</f>
        <v>332332.48582946043</v>
      </c>
      <c r="L79" s="82">
        <f t="shared" ref="L79:L80" si="29">SUM(H79:K79)</f>
        <v>451470.54678719153</v>
      </c>
      <c r="M79" s="82">
        <f>L79+L80</f>
        <v>451470.54678719153</v>
      </c>
      <c r="N79" s="19">
        <f>N73+L79</f>
        <v>3698535.02258525</v>
      </c>
      <c r="O79" s="82">
        <f>SUM(R79:S80)</f>
        <v>451470.54678719153</v>
      </c>
      <c r="P79" s="82">
        <f>SUM(S79:S80)/2+SUM(R79:R80)</f>
        <v>225735.27339359577</v>
      </c>
      <c r="Q79" s="123">
        <f>C79+0.5</f>
        <v>11</v>
      </c>
      <c r="R79" s="189">
        <f>IF($C$13="Yes",0,IF(Q79&gt;D79,0,E79*(D79-Q79)/D79))</f>
        <v>0</v>
      </c>
      <c r="S79" s="82">
        <f>L79</f>
        <v>451470.54678719153</v>
      </c>
    </row>
    <row r="80" spans="1:19" ht="12.5" x14ac:dyDescent="0.25">
      <c r="A80" s="17" t="str">
        <f>B80&amp;$B$77</f>
        <v>Cap Con on Completion Type 111</v>
      </c>
      <c r="B80" s="84" t="str">
        <f>B74</f>
        <v>Cap Con on Completion Type 1</v>
      </c>
      <c r="C80" s="114">
        <f>C74+1</f>
        <v>10.5</v>
      </c>
      <c r="D80" s="116">
        <f>D74</f>
        <v>0</v>
      </c>
      <c r="E80" s="78">
        <f>E74*SUM(VLOOKUP(SUM($C$10+B71),Data!$F:$G,2,FALSE))</f>
        <v>0</v>
      </c>
      <c r="F80" s="78">
        <f t="shared" ref="F80" si="30">E80</f>
        <v>0</v>
      </c>
      <c r="G80" s="78">
        <f>IF($C$13="Yes",0,IF(C80&gt;D80,0,E80*(D80-C80)/D80))</f>
        <v>0</v>
      </c>
      <c r="H80" s="79">
        <f>IF(C80&gt;D80,0,G80*H77)</f>
        <v>0</v>
      </c>
      <c r="I80" s="131">
        <f>IF($C$13="Yes",0,IF(C80&gt;D80,0,E80*1/D80))</f>
        <v>0</v>
      </c>
      <c r="J80" s="79">
        <f>E80*J77</f>
        <v>0</v>
      </c>
      <c r="K80" s="79">
        <f>E80*K77</f>
        <v>0</v>
      </c>
      <c r="L80" s="79">
        <f t="shared" si="29"/>
        <v>0</v>
      </c>
      <c r="M80" s="79"/>
      <c r="N80" s="19">
        <f>N74+L80</f>
        <v>0</v>
      </c>
      <c r="O80" s="79"/>
      <c r="P80" s="79"/>
      <c r="Q80" s="124">
        <f>C80+0.5</f>
        <v>11</v>
      </c>
      <c r="R80" s="190">
        <f>IF($C$13="Yes",0,IF(Q80&gt;D80,0,E80*(D80-Q80)/D80))</f>
        <v>0</v>
      </c>
      <c r="S80" s="79">
        <f t="shared" ref="S80" si="31">L80</f>
        <v>0</v>
      </c>
    </row>
    <row r="81" spans="1:19" ht="12.5" x14ac:dyDescent="0.25">
      <c r="A81" s="17"/>
      <c r="B81" s="134"/>
      <c r="C81" s="135"/>
      <c r="D81" s="136"/>
      <c r="E81" s="137"/>
      <c r="F81" s="137"/>
      <c r="G81" s="137"/>
      <c r="H81" s="38"/>
      <c r="I81" s="38"/>
      <c r="J81" s="38"/>
      <c r="K81" s="38"/>
      <c r="L81" s="38"/>
      <c r="M81" s="38"/>
      <c r="O81" s="38"/>
      <c r="P81" s="38"/>
      <c r="Q81" s="138"/>
      <c r="R81" s="38"/>
      <c r="S81" s="38"/>
    </row>
    <row r="82" spans="1:19" ht="23" x14ac:dyDescent="0.25">
      <c r="A82" s="19"/>
      <c r="B82" s="2"/>
      <c r="C82" s="37"/>
      <c r="D82" s="117"/>
      <c r="E82" s="117"/>
      <c r="F82" s="117"/>
      <c r="G82" s="117"/>
      <c r="H82" s="118" t="s">
        <v>12</v>
      </c>
      <c r="I82" s="119"/>
      <c r="J82" s="118" t="s">
        <v>11</v>
      </c>
      <c r="K82" s="118" t="s">
        <v>10</v>
      </c>
      <c r="L82" s="119"/>
      <c r="M82" s="40"/>
      <c r="N82" s="19">
        <f>N76+L82</f>
        <v>0</v>
      </c>
      <c r="O82" s="36"/>
      <c r="P82" s="36"/>
      <c r="Q82" s="37"/>
      <c r="R82" s="37"/>
      <c r="S82" s="37"/>
    </row>
    <row r="83" spans="1:19" ht="15.5" x14ac:dyDescent="0.25">
      <c r="A83" s="93" t="s">
        <v>8</v>
      </c>
      <c r="B83" s="111">
        <f>B77+1</f>
        <v>12</v>
      </c>
      <c r="C83" s="37"/>
      <c r="D83" s="117"/>
      <c r="E83" s="251"/>
      <c r="F83" s="251"/>
      <c r="G83" s="120"/>
      <c r="H83" s="121">
        <f>IF($C$13="Yes",0,IF(SUM($C$10+B83)&lt;=2020,"6%",VLOOKUP($C$6&amp;SUM($C$10+B83),Data!$C:$D,2,FALSE)))</f>
        <v>0</v>
      </c>
      <c r="I83" s="117"/>
      <c r="J83" s="121">
        <f>VLOOKUP(C84,Data!$F:$I,3,FALSE)</f>
        <v>3.8E-3</v>
      </c>
      <c r="K83" s="121">
        <f>VLOOKUP(C84,Data!$F:$I,4,FALSE)</f>
        <v>1.06E-2</v>
      </c>
      <c r="L83" s="117"/>
      <c r="M83" s="37"/>
      <c r="N83" s="19">
        <f>N77+L83</f>
        <v>0</v>
      </c>
      <c r="O83" s="121" t="s">
        <v>53</v>
      </c>
      <c r="P83" s="121" t="s">
        <v>54</v>
      </c>
      <c r="Q83" s="122"/>
      <c r="R83" s="37"/>
      <c r="S83" s="37"/>
    </row>
    <row r="84" spans="1:19" x14ac:dyDescent="0.25">
      <c r="A84" s="17"/>
      <c r="B84" s="70" t="s">
        <v>6</v>
      </c>
      <c r="C84" s="70">
        <f>C78+1</f>
        <v>2039</v>
      </c>
      <c r="D84" s="70" t="s">
        <v>5</v>
      </c>
      <c r="E84" s="70" t="s">
        <v>9</v>
      </c>
      <c r="F84" s="70" t="s">
        <v>7</v>
      </c>
      <c r="G84" s="70" t="s">
        <v>1</v>
      </c>
      <c r="H84" s="70" t="s">
        <v>0</v>
      </c>
      <c r="I84" s="70" t="s">
        <v>5</v>
      </c>
      <c r="J84" s="70" t="s">
        <v>3</v>
      </c>
      <c r="K84" s="70" t="s">
        <v>2</v>
      </c>
      <c r="L84" s="70" t="s">
        <v>4</v>
      </c>
      <c r="M84" s="70" t="s">
        <v>13</v>
      </c>
      <c r="N84" s="20"/>
      <c r="O84" s="70" t="s">
        <v>26</v>
      </c>
      <c r="P84" s="70" t="s">
        <v>26</v>
      </c>
      <c r="Q84" s="70" t="s">
        <v>27</v>
      </c>
      <c r="R84" s="70" t="s">
        <v>28</v>
      </c>
      <c r="S84" s="70" t="s">
        <v>29</v>
      </c>
    </row>
    <row r="85" spans="1:19" ht="12.5" x14ac:dyDescent="0.25">
      <c r="A85" s="17" t="str">
        <f>B85&amp;$B$83</f>
        <v>Cap Con on Completion Type 112</v>
      </c>
      <c r="B85" s="83" t="str">
        <f>B79</f>
        <v>Cap Con on Completion Type 1</v>
      </c>
      <c r="C85" s="113">
        <f>C79+1</f>
        <v>11.5</v>
      </c>
      <c r="D85" s="115">
        <f>D79</f>
        <v>40</v>
      </c>
      <c r="E85" s="81">
        <f>E79*SUM(VLOOKUP(SUM($C$10+B77),Data!$F:$G,2,FALSE))</f>
        <v>33386873.977338906</v>
      </c>
      <c r="F85" s="81">
        <f>E85</f>
        <v>33386873.977338906</v>
      </c>
      <c r="G85" s="81">
        <f>IF($C$13="Yes",0,IF(C85&gt;D85,0,E85*(D85-C85)/D85))</f>
        <v>0</v>
      </c>
      <c r="H85" s="82">
        <f>IF(C85&gt;D85,0,G85*H83)</f>
        <v>0</v>
      </c>
      <c r="I85" s="130">
        <f>IF($C$13="Yes",0,IF(C85&gt;D85,0,E85*1/D85))</f>
        <v>0</v>
      </c>
      <c r="J85" s="82">
        <f>E85*J83</f>
        <v>126870.12111388784</v>
      </c>
      <c r="K85" s="82">
        <f>E85*K83</f>
        <v>353900.86415979243</v>
      </c>
      <c r="L85" s="82">
        <f t="shared" ref="L85:L86" si="32">SUM(H85:K85)</f>
        <v>480770.9852736803</v>
      </c>
      <c r="M85" s="82">
        <f>L85+L86</f>
        <v>480770.9852736803</v>
      </c>
      <c r="N85" s="19">
        <f>N79+L85</f>
        <v>4179306.0078589302</v>
      </c>
      <c r="O85" s="82">
        <f>SUM(R85:S86)</f>
        <v>480770.9852736803</v>
      </c>
      <c r="P85" s="82">
        <f>SUM(S85:S86)/2+SUM(R85:R86)</f>
        <v>240385.49263684015</v>
      </c>
      <c r="Q85" s="123">
        <f>C85+0.5</f>
        <v>12</v>
      </c>
      <c r="R85" s="189">
        <f>IF($C$13="Yes",0,IF(Q85&gt;D85,0,E85*(D85-Q85)/D85))</f>
        <v>0</v>
      </c>
      <c r="S85" s="82">
        <f>L85</f>
        <v>480770.9852736803</v>
      </c>
    </row>
    <row r="86" spans="1:19" ht="12.5" x14ac:dyDescent="0.25">
      <c r="A86" s="17" t="str">
        <f>B86&amp;$B$83</f>
        <v>Cap Con on Completion Type 112</v>
      </c>
      <c r="B86" s="84" t="str">
        <f>B80</f>
        <v>Cap Con on Completion Type 1</v>
      </c>
      <c r="C86" s="114">
        <f>C80+1</f>
        <v>11.5</v>
      </c>
      <c r="D86" s="116">
        <f>D80</f>
        <v>0</v>
      </c>
      <c r="E86" s="78">
        <f>E80*SUM(VLOOKUP(SUM($C$10+B77),Data!$F:$G,2,FALSE))</f>
        <v>0</v>
      </c>
      <c r="F86" s="78">
        <f t="shared" ref="F86" si="33">E86</f>
        <v>0</v>
      </c>
      <c r="G86" s="78">
        <f>IF($C$13="Yes",0,IF(C86&gt;D86,0,E86*(D86-C86)/D86))</f>
        <v>0</v>
      </c>
      <c r="H86" s="79">
        <f>IF(C86&gt;D86,0,G86*H83)</f>
        <v>0</v>
      </c>
      <c r="I86" s="131">
        <f>IF($C$13="Yes",0,IF(C86&gt;D86,0,E86*1/D86))</f>
        <v>0</v>
      </c>
      <c r="J86" s="79">
        <f>E86*J83</f>
        <v>0</v>
      </c>
      <c r="K86" s="79">
        <f>E86*K83</f>
        <v>0</v>
      </c>
      <c r="L86" s="79">
        <f t="shared" si="32"/>
        <v>0</v>
      </c>
      <c r="M86" s="79"/>
      <c r="N86" s="19">
        <f>N80+L86</f>
        <v>0</v>
      </c>
      <c r="O86" s="79"/>
      <c r="P86" s="79"/>
      <c r="Q86" s="124">
        <f>C86+0.5</f>
        <v>12</v>
      </c>
      <c r="R86" s="190">
        <f>IF($C$13="Yes",0,IF(Q86&gt;D86,0,E86*(D86-Q86)/D86))</f>
        <v>0</v>
      </c>
      <c r="S86" s="79">
        <f t="shared" ref="S86" si="34">L86</f>
        <v>0</v>
      </c>
    </row>
    <row r="87" spans="1:19" ht="12.5" x14ac:dyDescent="0.25">
      <c r="A87" s="17"/>
      <c r="B87" s="134"/>
      <c r="C87" s="135"/>
      <c r="D87" s="136"/>
      <c r="E87" s="137"/>
      <c r="F87" s="137"/>
      <c r="G87" s="137"/>
      <c r="H87" s="38"/>
      <c r="I87" s="38"/>
      <c r="J87" s="38"/>
      <c r="K87" s="38"/>
      <c r="L87" s="38"/>
      <c r="M87" s="38"/>
      <c r="O87" s="38"/>
      <c r="P87" s="38"/>
      <c r="Q87" s="138"/>
      <c r="R87" s="38"/>
      <c r="S87" s="38"/>
    </row>
    <row r="88" spans="1:19" ht="23" x14ac:dyDescent="0.25">
      <c r="A88" s="19"/>
      <c r="B88" s="2"/>
      <c r="C88" s="37"/>
      <c r="D88" s="117"/>
      <c r="E88" s="117"/>
      <c r="F88" s="117"/>
      <c r="G88" s="117"/>
      <c r="H88" s="118" t="s">
        <v>12</v>
      </c>
      <c r="I88" s="119"/>
      <c r="J88" s="118" t="s">
        <v>11</v>
      </c>
      <c r="K88" s="118" t="s">
        <v>10</v>
      </c>
      <c r="L88" s="119"/>
      <c r="M88" s="40"/>
      <c r="N88" s="19">
        <f>N82+L88</f>
        <v>0</v>
      </c>
      <c r="O88" s="36"/>
      <c r="P88" s="36"/>
      <c r="Q88" s="37"/>
      <c r="R88" s="37"/>
      <c r="S88" s="37"/>
    </row>
    <row r="89" spans="1:19" ht="15.5" x14ac:dyDescent="0.25">
      <c r="A89" s="93" t="s">
        <v>8</v>
      </c>
      <c r="B89" s="111">
        <f>B83+1</f>
        <v>13</v>
      </c>
      <c r="C89" s="37"/>
      <c r="D89" s="117"/>
      <c r="E89" s="251"/>
      <c r="F89" s="251"/>
      <c r="G89" s="120"/>
      <c r="H89" s="121">
        <f>IF($C$13="Yes",0,IF(SUM($C$10+B89)&lt;=2020,"6%",VLOOKUP($C$6&amp;SUM($C$10+B89),Data!$C:$D,2,FALSE)))</f>
        <v>0</v>
      </c>
      <c r="I89" s="117"/>
      <c r="J89" s="121">
        <f>VLOOKUP(C90,Data!$F:$I,3,FALSE)</f>
        <v>3.8E-3</v>
      </c>
      <c r="K89" s="121">
        <f>VLOOKUP(C90,Data!$F:$I,4,FALSE)</f>
        <v>1.06E-2</v>
      </c>
      <c r="L89" s="117"/>
      <c r="M89" s="37"/>
      <c r="N89" s="19">
        <f>N83+L89</f>
        <v>0</v>
      </c>
      <c r="O89" s="121" t="s">
        <v>53</v>
      </c>
      <c r="P89" s="121" t="s">
        <v>54</v>
      </c>
      <c r="Q89" s="122"/>
      <c r="R89" s="37"/>
      <c r="S89" s="37"/>
    </row>
    <row r="90" spans="1:19" x14ac:dyDescent="0.25">
      <c r="A90" s="17"/>
      <c r="B90" s="70" t="s">
        <v>6</v>
      </c>
      <c r="C90" s="70">
        <f>C84+1</f>
        <v>2040</v>
      </c>
      <c r="D90" s="70" t="s">
        <v>5</v>
      </c>
      <c r="E90" s="70" t="s">
        <v>9</v>
      </c>
      <c r="F90" s="70" t="s">
        <v>7</v>
      </c>
      <c r="G90" s="70" t="s">
        <v>1</v>
      </c>
      <c r="H90" s="70" t="s">
        <v>0</v>
      </c>
      <c r="I90" s="70" t="s">
        <v>5</v>
      </c>
      <c r="J90" s="70" t="s">
        <v>3</v>
      </c>
      <c r="K90" s="70" t="s">
        <v>2</v>
      </c>
      <c r="L90" s="70" t="s">
        <v>4</v>
      </c>
      <c r="M90" s="70" t="s">
        <v>13</v>
      </c>
      <c r="N90" s="20"/>
      <c r="O90" s="70" t="s">
        <v>26</v>
      </c>
      <c r="P90" s="70" t="s">
        <v>26</v>
      </c>
      <c r="Q90" s="70" t="s">
        <v>27</v>
      </c>
      <c r="R90" s="70" t="s">
        <v>28</v>
      </c>
      <c r="S90" s="70" t="s">
        <v>29</v>
      </c>
    </row>
    <row r="91" spans="1:19" ht="12.5" x14ac:dyDescent="0.25">
      <c r="A91" s="17" t="str">
        <f>B91&amp;$B$89</f>
        <v>Cap Con on Completion Type 113</v>
      </c>
      <c r="B91" s="83" t="str">
        <f>B85</f>
        <v>Cap Con on Completion Type 1</v>
      </c>
      <c r="C91" s="113">
        <f>C85+1</f>
        <v>12.5</v>
      </c>
      <c r="D91" s="115">
        <f>D85</f>
        <v>40</v>
      </c>
      <c r="E91" s="81">
        <f>E85*SUM(VLOOKUP(SUM($C$10+B83),Data!$F:$G,2,FALSE))</f>
        <v>35553682.098468199</v>
      </c>
      <c r="F91" s="81">
        <f>E91</f>
        <v>35553682.098468199</v>
      </c>
      <c r="G91" s="81">
        <f>IF($C$13="Yes",0,IF(C91&gt;D91,0,E91*(D91-C91)/D91))</f>
        <v>0</v>
      </c>
      <c r="H91" s="82">
        <f>IF(C91&gt;D91,0,G91*H89)</f>
        <v>0</v>
      </c>
      <c r="I91" s="130">
        <f>IF($C$13="Yes",0,IF(C91&gt;D91,0,E91*1/D91))</f>
        <v>0</v>
      </c>
      <c r="J91" s="82">
        <f>E91*J89</f>
        <v>135103.99197417917</v>
      </c>
      <c r="K91" s="82">
        <f>E91*K89</f>
        <v>376869.03024376294</v>
      </c>
      <c r="L91" s="82">
        <f t="shared" ref="L91:L92" si="35">SUM(H91:K91)</f>
        <v>511973.02221794211</v>
      </c>
      <c r="M91" s="82">
        <f>L91+L92</f>
        <v>511973.02221794211</v>
      </c>
      <c r="N91" s="19">
        <f>N85+L91</f>
        <v>4691279.0300768726</v>
      </c>
      <c r="O91" s="82">
        <f>SUM(R91:S92)</f>
        <v>511973.02221794211</v>
      </c>
      <c r="P91" s="82">
        <f>SUM(S91:S92)/2+SUM(R91:R92)</f>
        <v>255986.51110897106</v>
      </c>
      <c r="Q91" s="123">
        <f>C91+0.5</f>
        <v>13</v>
      </c>
      <c r="R91" s="189">
        <f>IF($C$13="Yes",0,IF(Q91&gt;D91,0,E91*(D91-Q91)/D91))</f>
        <v>0</v>
      </c>
      <c r="S91" s="82">
        <f>L91</f>
        <v>511973.02221794211</v>
      </c>
    </row>
    <row r="92" spans="1:19" ht="12.5" x14ac:dyDescent="0.25">
      <c r="A92" s="17" t="str">
        <f>B92&amp;$B$89</f>
        <v>Cap Con on Completion Type 113</v>
      </c>
      <c r="B92" s="84" t="str">
        <f>B86</f>
        <v>Cap Con on Completion Type 1</v>
      </c>
      <c r="C92" s="114">
        <f>C86+1</f>
        <v>12.5</v>
      </c>
      <c r="D92" s="116">
        <f>D86</f>
        <v>0</v>
      </c>
      <c r="E92" s="78">
        <f>E86*SUM(VLOOKUP(SUM($C$10+B83),Data!$F:$G,2,FALSE))</f>
        <v>0</v>
      </c>
      <c r="F92" s="78">
        <f t="shared" ref="F92" si="36">E92</f>
        <v>0</v>
      </c>
      <c r="G92" s="78">
        <f>IF($C$13="Yes",0,IF(C92&gt;D92,0,E92*(D92-C92)/D92))</f>
        <v>0</v>
      </c>
      <c r="H92" s="79">
        <f>IF(C92&gt;D92,0,G92*H89)</f>
        <v>0</v>
      </c>
      <c r="I92" s="131">
        <f>IF($C$13="Yes",0,IF(C92&gt;D92,0,E92*1/D92))</f>
        <v>0</v>
      </c>
      <c r="J92" s="79">
        <f>E92*J89</f>
        <v>0</v>
      </c>
      <c r="K92" s="79">
        <f>E92*K89</f>
        <v>0</v>
      </c>
      <c r="L92" s="79">
        <f t="shared" si="35"/>
        <v>0</v>
      </c>
      <c r="M92" s="79"/>
      <c r="N92" s="19">
        <f>N86+L92</f>
        <v>0</v>
      </c>
      <c r="O92" s="79"/>
      <c r="P92" s="79"/>
      <c r="Q92" s="124">
        <f>C92+0.5</f>
        <v>13</v>
      </c>
      <c r="R92" s="190">
        <f>IF($C$13="Yes",0,IF(Q92&gt;D92,0,E92*(D92-Q92)/D92))</f>
        <v>0</v>
      </c>
      <c r="S92" s="79">
        <f t="shared" ref="S92" si="37">L92</f>
        <v>0</v>
      </c>
    </row>
    <row r="93" spans="1:19" ht="12.5" x14ac:dyDescent="0.25">
      <c r="A93" s="17"/>
      <c r="B93" s="134"/>
      <c r="C93" s="135"/>
      <c r="D93" s="136"/>
      <c r="E93" s="137"/>
      <c r="F93" s="137"/>
      <c r="G93" s="137"/>
      <c r="H93" s="38"/>
      <c r="I93" s="38"/>
      <c r="J93" s="38"/>
      <c r="K93" s="38"/>
      <c r="L93" s="38"/>
      <c r="M93" s="38"/>
      <c r="O93" s="38"/>
      <c r="P93" s="38"/>
      <c r="Q93" s="138"/>
      <c r="R93" s="38"/>
      <c r="S93" s="38"/>
    </row>
    <row r="94" spans="1:19" ht="23" x14ac:dyDescent="0.25">
      <c r="A94" s="19"/>
      <c r="B94" s="2"/>
      <c r="C94" s="37"/>
      <c r="D94" s="117"/>
      <c r="E94" s="117"/>
      <c r="F94" s="117"/>
      <c r="G94" s="117"/>
      <c r="H94" s="118" t="s">
        <v>12</v>
      </c>
      <c r="I94" s="119"/>
      <c r="J94" s="118" t="s">
        <v>11</v>
      </c>
      <c r="K94" s="118" t="s">
        <v>10</v>
      </c>
      <c r="L94" s="119"/>
      <c r="M94" s="40"/>
      <c r="N94" s="19">
        <f>N88+L94</f>
        <v>0</v>
      </c>
      <c r="O94" s="36"/>
      <c r="P94" s="36"/>
      <c r="Q94" s="37"/>
      <c r="R94" s="37"/>
      <c r="S94" s="37"/>
    </row>
    <row r="95" spans="1:19" ht="15.5" x14ac:dyDescent="0.25">
      <c r="A95" s="93" t="s">
        <v>8</v>
      </c>
      <c r="B95" s="111">
        <f>B89+1</f>
        <v>14</v>
      </c>
      <c r="C95" s="37"/>
      <c r="D95" s="117"/>
      <c r="E95" s="251"/>
      <c r="F95" s="251"/>
      <c r="G95" s="120"/>
      <c r="H95" s="121">
        <f>IF($C$13="Yes",0,IF(SUM($C$10+B95)&lt;=2020,"6%",VLOOKUP($C$6&amp;SUM($C$10+B95),Data!$C:$D,2,FALSE)))</f>
        <v>0</v>
      </c>
      <c r="I95" s="117"/>
      <c r="J95" s="121">
        <f>VLOOKUP(C96,Data!$F:$I,3,FALSE)</f>
        <v>3.8E-3</v>
      </c>
      <c r="K95" s="121">
        <f>VLOOKUP(C96,Data!$F:$I,4,FALSE)</f>
        <v>1.06E-2</v>
      </c>
      <c r="L95" s="117"/>
      <c r="M95" s="37"/>
      <c r="N95" s="19">
        <f>N89+L95</f>
        <v>0</v>
      </c>
      <c r="O95" s="121" t="s">
        <v>53</v>
      </c>
      <c r="P95" s="121" t="s">
        <v>54</v>
      </c>
      <c r="Q95" s="122"/>
      <c r="R95" s="37"/>
      <c r="S95" s="37"/>
    </row>
    <row r="96" spans="1:19" x14ac:dyDescent="0.25">
      <c r="A96" s="17"/>
      <c r="B96" s="70" t="s">
        <v>6</v>
      </c>
      <c r="C96" s="70">
        <f>C90+1</f>
        <v>2041</v>
      </c>
      <c r="D96" s="70" t="s">
        <v>5</v>
      </c>
      <c r="E96" s="70" t="s">
        <v>9</v>
      </c>
      <c r="F96" s="70" t="s">
        <v>7</v>
      </c>
      <c r="G96" s="70" t="s">
        <v>1</v>
      </c>
      <c r="H96" s="70" t="s">
        <v>0</v>
      </c>
      <c r="I96" s="70" t="s">
        <v>5</v>
      </c>
      <c r="J96" s="70" t="s">
        <v>3</v>
      </c>
      <c r="K96" s="70" t="s">
        <v>2</v>
      </c>
      <c r="L96" s="70" t="s">
        <v>4</v>
      </c>
      <c r="M96" s="70" t="s">
        <v>13</v>
      </c>
      <c r="N96" s="20"/>
      <c r="O96" s="70" t="s">
        <v>26</v>
      </c>
      <c r="P96" s="70" t="s">
        <v>26</v>
      </c>
      <c r="Q96" s="70" t="s">
        <v>27</v>
      </c>
      <c r="R96" s="70" t="s">
        <v>28</v>
      </c>
      <c r="S96" s="70" t="s">
        <v>29</v>
      </c>
    </row>
    <row r="97" spans="1:19" ht="12.5" x14ac:dyDescent="0.25">
      <c r="A97" s="17" t="str">
        <f>B97&amp;$B$95</f>
        <v>Cap Con on Completion Type 114</v>
      </c>
      <c r="B97" s="83" t="str">
        <f>B91</f>
        <v>Cap Con on Completion Type 1</v>
      </c>
      <c r="C97" s="113">
        <f>C91+1</f>
        <v>13.5</v>
      </c>
      <c r="D97" s="115">
        <f>D91</f>
        <v>40</v>
      </c>
      <c r="E97" s="81">
        <f>E91*SUM(VLOOKUP(SUM($C$10+B89),Data!$F:$G,2,FALSE))</f>
        <v>37861116.066658787</v>
      </c>
      <c r="F97" s="81">
        <f>E97</f>
        <v>37861116.066658787</v>
      </c>
      <c r="G97" s="81">
        <f>IF($C$13="Yes",0,IF(C97&gt;D97,0,E97*(D97-C97)/D97))</f>
        <v>0</v>
      </c>
      <c r="H97" s="82">
        <f>IF(C97&gt;D97,0,G97*H95)</f>
        <v>0</v>
      </c>
      <c r="I97" s="130">
        <f>IF($C$13="Yes",0,IF(C97&gt;D97,0,E97*1/D97))</f>
        <v>0</v>
      </c>
      <c r="J97" s="82">
        <f>E97*J95</f>
        <v>143872.24105330338</v>
      </c>
      <c r="K97" s="82">
        <f>E97*K95</f>
        <v>401327.83030658314</v>
      </c>
      <c r="L97" s="82">
        <f t="shared" ref="L97:L98" si="38">SUM(H97:K97)</f>
        <v>545200.07135988656</v>
      </c>
      <c r="M97" s="82">
        <f>L97+L98</f>
        <v>545200.07135988656</v>
      </c>
      <c r="N97" s="19">
        <f>N91+L97</f>
        <v>5236479.1014367593</v>
      </c>
      <c r="O97" s="82">
        <f>SUM(R97:S98)</f>
        <v>545200.07135988656</v>
      </c>
      <c r="P97" s="82">
        <f>SUM(S97:S98)/2+SUM(R97:R98)</f>
        <v>272600.03567994328</v>
      </c>
      <c r="Q97" s="123">
        <f>C97+0.5</f>
        <v>14</v>
      </c>
      <c r="R97" s="189">
        <f>IF($C$13="Yes",0,IF(Q97&gt;D97,0,E97*(D97-Q97)/D97))</f>
        <v>0</v>
      </c>
      <c r="S97" s="82">
        <f>L97</f>
        <v>545200.07135988656</v>
      </c>
    </row>
    <row r="98" spans="1:19" ht="12.5" x14ac:dyDescent="0.25">
      <c r="A98" s="17" t="str">
        <f>B98&amp;$B$95</f>
        <v>Cap Con on Completion Type 114</v>
      </c>
      <c r="B98" s="84" t="str">
        <f>B92</f>
        <v>Cap Con on Completion Type 1</v>
      </c>
      <c r="C98" s="114">
        <f>C92+1</f>
        <v>13.5</v>
      </c>
      <c r="D98" s="116">
        <f>D92</f>
        <v>0</v>
      </c>
      <c r="E98" s="78">
        <f>E92*SUM(VLOOKUP(SUM($C$10+B89),Data!$F:$G,2,FALSE))</f>
        <v>0</v>
      </c>
      <c r="F98" s="78">
        <f t="shared" ref="F98" si="39">E98</f>
        <v>0</v>
      </c>
      <c r="G98" s="78">
        <f>IF($C$13="Yes",0,IF(C98&gt;D98,0,E98*(D98-C98)/D98))</f>
        <v>0</v>
      </c>
      <c r="H98" s="79">
        <f>IF(C98&gt;D98,0,G98*H95)</f>
        <v>0</v>
      </c>
      <c r="I98" s="131">
        <f>IF($C$13="Yes",0,IF(C98&gt;D98,0,E98*1/D98))</f>
        <v>0</v>
      </c>
      <c r="J98" s="79">
        <f>E98*J95</f>
        <v>0</v>
      </c>
      <c r="K98" s="79">
        <f>E98*K95</f>
        <v>0</v>
      </c>
      <c r="L98" s="79">
        <f t="shared" si="38"/>
        <v>0</v>
      </c>
      <c r="M98" s="79"/>
      <c r="N98" s="19">
        <f>N92+L98</f>
        <v>0</v>
      </c>
      <c r="O98" s="79"/>
      <c r="P98" s="79"/>
      <c r="Q98" s="124">
        <f>C98+0.5</f>
        <v>14</v>
      </c>
      <c r="R98" s="190">
        <f>IF($C$13="Yes",0,IF(Q98&gt;D98,0,E98*(D98-Q98)/D98))</f>
        <v>0</v>
      </c>
      <c r="S98" s="79">
        <f t="shared" ref="S98" si="40">L98</f>
        <v>0</v>
      </c>
    </row>
    <row r="99" spans="1:19" ht="12.5" x14ac:dyDescent="0.25">
      <c r="A99" s="17"/>
      <c r="B99" s="134"/>
      <c r="C99" s="135"/>
      <c r="D99" s="136"/>
      <c r="E99" s="137"/>
      <c r="F99" s="137"/>
      <c r="G99" s="137"/>
      <c r="H99" s="38"/>
      <c r="I99" s="38"/>
      <c r="J99" s="38"/>
      <c r="K99" s="38"/>
      <c r="L99" s="38"/>
      <c r="M99" s="38"/>
      <c r="O99" s="38"/>
      <c r="P99" s="38"/>
      <c r="Q99" s="138"/>
      <c r="R99" s="38"/>
      <c r="S99" s="38"/>
    </row>
    <row r="100" spans="1:19" ht="23" x14ac:dyDescent="0.25">
      <c r="A100" s="19"/>
      <c r="B100" s="2"/>
      <c r="C100" s="37"/>
      <c r="D100" s="117"/>
      <c r="E100" s="117"/>
      <c r="F100" s="117"/>
      <c r="G100" s="117"/>
      <c r="H100" s="118" t="s">
        <v>12</v>
      </c>
      <c r="I100" s="119"/>
      <c r="J100" s="118" t="s">
        <v>11</v>
      </c>
      <c r="K100" s="118" t="s">
        <v>10</v>
      </c>
      <c r="L100" s="119"/>
      <c r="M100" s="40"/>
      <c r="N100" s="19">
        <f>N94+L100</f>
        <v>0</v>
      </c>
      <c r="O100" s="36"/>
      <c r="P100" s="36"/>
      <c r="Q100" s="37"/>
      <c r="R100" s="37"/>
      <c r="S100" s="37"/>
    </row>
    <row r="101" spans="1:19" ht="15.5" x14ac:dyDescent="0.25">
      <c r="A101" s="93" t="s">
        <v>8</v>
      </c>
      <c r="B101" s="111">
        <f>B95+1</f>
        <v>15</v>
      </c>
      <c r="C101" s="37"/>
      <c r="D101" s="117"/>
      <c r="E101" s="251"/>
      <c r="F101" s="251"/>
      <c r="G101" s="120"/>
      <c r="H101" s="121">
        <f>IF($C$13="Yes",0,IF(SUM($C$10+B101)&lt;=2020,"6%",VLOOKUP($C$6&amp;SUM($C$10+B101),Data!$C:$D,2,FALSE)))</f>
        <v>0</v>
      </c>
      <c r="I101" s="117"/>
      <c r="J101" s="121">
        <f>VLOOKUP(C102,Data!$F:$I,3,FALSE)</f>
        <v>3.8E-3</v>
      </c>
      <c r="K101" s="121">
        <f>VLOOKUP(C102,Data!$F:$I,4,FALSE)</f>
        <v>1.06E-2</v>
      </c>
      <c r="L101" s="117"/>
      <c r="M101" s="37"/>
      <c r="N101" s="19">
        <f>N95+L101</f>
        <v>0</v>
      </c>
      <c r="O101" s="121" t="s">
        <v>53</v>
      </c>
      <c r="P101" s="121" t="s">
        <v>54</v>
      </c>
      <c r="Q101" s="122"/>
      <c r="R101" s="37"/>
      <c r="S101" s="37"/>
    </row>
    <row r="102" spans="1:19" x14ac:dyDescent="0.25">
      <c r="A102" s="17"/>
      <c r="B102" s="70" t="s">
        <v>6</v>
      </c>
      <c r="C102" s="70">
        <f>C96+1</f>
        <v>2042</v>
      </c>
      <c r="D102" s="70" t="s">
        <v>5</v>
      </c>
      <c r="E102" s="70" t="s">
        <v>9</v>
      </c>
      <c r="F102" s="70" t="s">
        <v>7</v>
      </c>
      <c r="G102" s="70" t="s">
        <v>1</v>
      </c>
      <c r="H102" s="70" t="s">
        <v>0</v>
      </c>
      <c r="I102" s="70" t="s">
        <v>5</v>
      </c>
      <c r="J102" s="70" t="s">
        <v>3</v>
      </c>
      <c r="K102" s="70" t="s">
        <v>2</v>
      </c>
      <c r="L102" s="70" t="s">
        <v>4</v>
      </c>
      <c r="M102" s="70" t="s">
        <v>13</v>
      </c>
      <c r="N102" s="20"/>
      <c r="O102" s="70" t="s">
        <v>26</v>
      </c>
      <c r="P102" s="70" t="s">
        <v>26</v>
      </c>
      <c r="Q102" s="70" t="s">
        <v>27</v>
      </c>
      <c r="R102" s="70" t="s">
        <v>28</v>
      </c>
      <c r="S102" s="70" t="s">
        <v>29</v>
      </c>
    </row>
    <row r="103" spans="1:19" ht="12.5" x14ac:dyDescent="0.25">
      <c r="A103" s="17" t="str">
        <f>B103&amp;$B$101</f>
        <v>Cap Con on Completion Type 115</v>
      </c>
      <c r="B103" s="83" t="str">
        <f>B97</f>
        <v>Cap Con on Completion Type 1</v>
      </c>
      <c r="C103" s="113">
        <f>C97+1</f>
        <v>14.5</v>
      </c>
      <c r="D103" s="115">
        <f>D97</f>
        <v>40</v>
      </c>
      <c r="E103" s="81">
        <f>E97*SUM(VLOOKUP(SUM($C$10+B95),Data!$F:$G,2,FALSE))</f>
        <v>40318302.49938494</v>
      </c>
      <c r="F103" s="81">
        <f>E103</f>
        <v>40318302.49938494</v>
      </c>
      <c r="G103" s="81">
        <f>IF($C$13="Yes",0,IF(C103&gt;D103,0,E103*(D103-C103)/D103))</f>
        <v>0</v>
      </c>
      <c r="H103" s="82">
        <f>IF(C103&gt;D103,0,G103*H101)</f>
        <v>0</v>
      </c>
      <c r="I103" s="130">
        <f>IF($C$13="Yes",0,IF(C103&gt;D103,0,E103*1/D103))</f>
        <v>0</v>
      </c>
      <c r="J103" s="82">
        <f>E103*J101</f>
        <v>153209.54949766278</v>
      </c>
      <c r="K103" s="82">
        <f>E103*K101</f>
        <v>427374.00649348035</v>
      </c>
      <c r="L103" s="82">
        <f t="shared" ref="L103:L104" si="41">SUM(H103:K103)</f>
        <v>580583.5559911431</v>
      </c>
      <c r="M103" s="82">
        <f>L103+L104</f>
        <v>580583.5559911431</v>
      </c>
      <c r="N103" s="19">
        <f>N97+L103</f>
        <v>5817062.6574279023</v>
      </c>
      <c r="O103" s="82">
        <f>SUM(R103:S104)</f>
        <v>580583.5559911431</v>
      </c>
      <c r="P103" s="82">
        <f>SUM(S103:S104)/2+SUM(R103:R104)</f>
        <v>290291.77799557155</v>
      </c>
      <c r="Q103" s="123">
        <f>C103+0.5</f>
        <v>15</v>
      </c>
      <c r="R103" s="189">
        <f>IF($C$13="Yes",0,IF(Q103&gt;D103,0,E103*(D103-Q103)/D103))</f>
        <v>0</v>
      </c>
      <c r="S103" s="82">
        <f>L103</f>
        <v>580583.5559911431</v>
      </c>
    </row>
    <row r="104" spans="1:19" ht="12.5" x14ac:dyDescent="0.25">
      <c r="A104" s="17" t="str">
        <f>B104&amp;$B$101</f>
        <v>Cap Con on Completion Type 115</v>
      </c>
      <c r="B104" s="84" t="str">
        <f>B98</f>
        <v>Cap Con on Completion Type 1</v>
      </c>
      <c r="C104" s="114">
        <f>C98+1</f>
        <v>14.5</v>
      </c>
      <c r="D104" s="116">
        <f>D98</f>
        <v>0</v>
      </c>
      <c r="E104" s="78">
        <f>E98*SUM(VLOOKUP(SUM($C$10+B95),Data!$F:$G,2,FALSE))</f>
        <v>0</v>
      </c>
      <c r="F104" s="78">
        <f t="shared" ref="F104" si="42">E104</f>
        <v>0</v>
      </c>
      <c r="G104" s="78">
        <f>IF($C$13="Yes",0,IF(C104&gt;D104,0,E104*(D104-C104)/D104))</f>
        <v>0</v>
      </c>
      <c r="H104" s="79">
        <f>IF(C104&gt;D104,0,G104*H101)</f>
        <v>0</v>
      </c>
      <c r="I104" s="131">
        <f>IF($C$13="Yes",0,IF(C104&gt;D104,0,E104*1/D104))</f>
        <v>0</v>
      </c>
      <c r="J104" s="79">
        <f>E104*J101</f>
        <v>0</v>
      </c>
      <c r="K104" s="79">
        <f>E104*K101</f>
        <v>0</v>
      </c>
      <c r="L104" s="79">
        <f t="shared" si="41"/>
        <v>0</v>
      </c>
      <c r="M104" s="79"/>
      <c r="N104" s="19">
        <f>N98+L104</f>
        <v>0</v>
      </c>
      <c r="O104" s="79"/>
      <c r="P104" s="79"/>
      <c r="Q104" s="124">
        <f>C104+0.5</f>
        <v>15</v>
      </c>
      <c r="R104" s="190">
        <f>IF($C$13="Yes",0,IF(Q104&gt;D104,0,E104*(D104-Q104)/D104))</f>
        <v>0</v>
      </c>
      <c r="S104" s="79">
        <f t="shared" ref="S104" si="43">L104</f>
        <v>0</v>
      </c>
    </row>
    <row r="105" spans="1:19" ht="12.5" x14ac:dyDescent="0.25">
      <c r="A105" s="17"/>
      <c r="B105" s="134"/>
      <c r="C105" s="135"/>
      <c r="D105" s="136"/>
      <c r="E105" s="137"/>
      <c r="F105" s="137"/>
      <c r="G105" s="137"/>
      <c r="H105" s="38"/>
      <c r="I105" s="38"/>
      <c r="J105" s="38"/>
      <c r="K105" s="38"/>
      <c r="L105" s="38"/>
      <c r="M105" s="38"/>
      <c r="O105" s="38"/>
      <c r="P105" s="38"/>
      <c r="Q105" s="138"/>
      <c r="R105" s="38"/>
      <c r="S105" s="38"/>
    </row>
    <row r="106" spans="1:19" ht="23" x14ac:dyDescent="0.25">
      <c r="A106" s="19"/>
      <c r="B106" s="2"/>
      <c r="C106" s="37"/>
      <c r="D106" s="117"/>
      <c r="E106" s="117"/>
      <c r="F106" s="117"/>
      <c r="G106" s="117"/>
      <c r="H106" s="118" t="s">
        <v>12</v>
      </c>
      <c r="I106" s="119"/>
      <c r="J106" s="118" t="s">
        <v>11</v>
      </c>
      <c r="K106" s="118" t="s">
        <v>10</v>
      </c>
      <c r="L106" s="119"/>
      <c r="M106" s="40"/>
      <c r="N106" s="19">
        <f>N100+L106</f>
        <v>0</v>
      </c>
      <c r="O106" s="36"/>
      <c r="P106" s="36"/>
      <c r="Q106" s="37"/>
      <c r="R106" s="37"/>
      <c r="S106" s="37"/>
    </row>
    <row r="107" spans="1:19" ht="15.5" x14ac:dyDescent="0.25">
      <c r="A107" s="93" t="s">
        <v>8</v>
      </c>
      <c r="B107" s="111">
        <f>B101+1</f>
        <v>16</v>
      </c>
      <c r="C107" s="37"/>
      <c r="D107" s="117"/>
      <c r="E107" s="251"/>
      <c r="F107" s="251"/>
      <c r="G107" s="120"/>
      <c r="H107" s="121">
        <f>IF($C$13="Yes",0,IF(SUM($C$10+B107)&lt;=2020,"6%",VLOOKUP($C$6&amp;SUM($C$10+B107),Data!$C:$D,2,FALSE)))</f>
        <v>0</v>
      </c>
      <c r="I107" s="117"/>
      <c r="J107" s="121">
        <f>VLOOKUP(C108,Data!$F:$I,3,FALSE)</f>
        <v>3.8E-3</v>
      </c>
      <c r="K107" s="121">
        <f>VLOOKUP(C108,Data!$F:$I,4,FALSE)</f>
        <v>1.06E-2</v>
      </c>
      <c r="L107" s="117"/>
      <c r="M107" s="37"/>
      <c r="N107" s="19">
        <f>N101+L107</f>
        <v>0</v>
      </c>
      <c r="O107" s="121" t="s">
        <v>53</v>
      </c>
      <c r="P107" s="121" t="s">
        <v>54</v>
      </c>
      <c r="Q107" s="122"/>
      <c r="R107" s="37"/>
      <c r="S107" s="37"/>
    </row>
    <row r="108" spans="1:19" x14ac:dyDescent="0.25">
      <c r="A108" s="17"/>
      <c r="B108" s="70" t="s">
        <v>6</v>
      </c>
      <c r="C108" s="70">
        <f>C102+1</f>
        <v>2043</v>
      </c>
      <c r="D108" s="70" t="s">
        <v>5</v>
      </c>
      <c r="E108" s="70" t="s">
        <v>9</v>
      </c>
      <c r="F108" s="70" t="s">
        <v>7</v>
      </c>
      <c r="G108" s="70" t="s">
        <v>1</v>
      </c>
      <c r="H108" s="70" t="s">
        <v>0</v>
      </c>
      <c r="I108" s="70" t="s">
        <v>5</v>
      </c>
      <c r="J108" s="70" t="s">
        <v>3</v>
      </c>
      <c r="K108" s="70" t="s">
        <v>2</v>
      </c>
      <c r="L108" s="70" t="s">
        <v>4</v>
      </c>
      <c r="M108" s="70" t="s">
        <v>13</v>
      </c>
      <c r="N108" s="20"/>
      <c r="O108" s="70" t="s">
        <v>26</v>
      </c>
      <c r="P108" s="70" t="s">
        <v>26</v>
      </c>
      <c r="Q108" s="70" t="s">
        <v>27</v>
      </c>
      <c r="R108" s="70" t="s">
        <v>28</v>
      </c>
      <c r="S108" s="70" t="s">
        <v>29</v>
      </c>
    </row>
    <row r="109" spans="1:19" ht="12.5" x14ac:dyDescent="0.25">
      <c r="A109" s="17" t="str">
        <f>B109&amp;$B$107</f>
        <v>Cap Con on Completion Type 116</v>
      </c>
      <c r="B109" s="83" t="str">
        <f>B103</f>
        <v>Cap Con on Completion Type 1</v>
      </c>
      <c r="C109" s="113">
        <f>C103+1</f>
        <v>15.5</v>
      </c>
      <c r="D109" s="115">
        <f>D103</f>
        <v>40</v>
      </c>
      <c r="E109" s="81">
        <f>E103*SUM(VLOOKUP(SUM($C$10+B101),Data!$F:$G,2,FALSE))</f>
        <v>42934960.331595019</v>
      </c>
      <c r="F109" s="81">
        <f>E109</f>
        <v>42934960.331595019</v>
      </c>
      <c r="G109" s="81">
        <f>IF($C$13="Yes",0,IF(C109&gt;D109,0,E109*(D109-C109)/D109))</f>
        <v>0</v>
      </c>
      <c r="H109" s="82">
        <f>IF(C109&gt;D109,0,G109*H107)</f>
        <v>0</v>
      </c>
      <c r="I109" s="130">
        <f>IF($C$13="Yes",0,IF(C109&gt;D109,0,E109*1/D109))</f>
        <v>0</v>
      </c>
      <c r="J109" s="82">
        <f>E109*J107</f>
        <v>163152.84926006108</v>
      </c>
      <c r="K109" s="82">
        <f>E109*K107</f>
        <v>455110.57951490721</v>
      </c>
      <c r="L109" s="82">
        <f t="shared" ref="L109:L110" si="44">SUM(H109:K109)</f>
        <v>618263.42877496826</v>
      </c>
      <c r="M109" s="82">
        <f>L109+L110</f>
        <v>618263.42877496826</v>
      </c>
      <c r="N109" s="19">
        <f>N103+L109</f>
        <v>6435326.0862028711</v>
      </c>
      <c r="O109" s="82">
        <f>SUM(R109:S110)</f>
        <v>618263.42877496826</v>
      </c>
      <c r="P109" s="82">
        <f>SUM(S109:S110)/2+SUM(R109:R110)</f>
        <v>309131.71438748413</v>
      </c>
      <c r="Q109" s="123">
        <f>C109+0.5</f>
        <v>16</v>
      </c>
      <c r="R109" s="189">
        <f>IF($C$13="Yes",0,IF(Q109&gt;D109,0,E109*(D109-Q109)/D109))</f>
        <v>0</v>
      </c>
      <c r="S109" s="82">
        <f>L109</f>
        <v>618263.42877496826</v>
      </c>
    </row>
    <row r="110" spans="1:19" ht="12.5" x14ac:dyDescent="0.25">
      <c r="A110" s="17" t="str">
        <f>B110&amp;$B$107</f>
        <v>Cap Con on Completion Type 116</v>
      </c>
      <c r="B110" s="84" t="str">
        <f>B104</f>
        <v>Cap Con on Completion Type 1</v>
      </c>
      <c r="C110" s="114">
        <f>C104+1</f>
        <v>15.5</v>
      </c>
      <c r="D110" s="116">
        <f>D104</f>
        <v>0</v>
      </c>
      <c r="E110" s="78">
        <f>E104*SUM(VLOOKUP(SUM($C$10+B101),Data!$F:$G,2,FALSE))</f>
        <v>0</v>
      </c>
      <c r="F110" s="78">
        <f t="shared" ref="F110" si="45">E110</f>
        <v>0</v>
      </c>
      <c r="G110" s="78">
        <f>IF($C$13="Yes",0,IF(C110&gt;D110,0,E110*(D110-C110)/D110))</f>
        <v>0</v>
      </c>
      <c r="H110" s="79">
        <f>IF(C110&gt;D110,0,G110*H107)</f>
        <v>0</v>
      </c>
      <c r="I110" s="131">
        <f>IF($C$13="Yes",0,IF(C110&gt;D110,0,E110*1/D110))</f>
        <v>0</v>
      </c>
      <c r="J110" s="79">
        <f>E110*J107</f>
        <v>0</v>
      </c>
      <c r="K110" s="79">
        <f>E110*K107</f>
        <v>0</v>
      </c>
      <c r="L110" s="79">
        <f t="shared" si="44"/>
        <v>0</v>
      </c>
      <c r="M110" s="79"/>
      <c r="N110" s="19">
        <f>N104+L110</f>
        <v>0</v>
      </c>
      <c r="O110" s="79"/>
      <c r="P110" s="79"/>
      <c r="Q110" s="124">
        <f>C110+0.5</f>
        <v>16</v>
      </c>
      <c r="R110" s="190">
        <f>IF($C$13="Yes",0,IF(Q110&gt;D110,0,E110*(D110-Q110)/D110))</f>
        <v>0</v>
      </c>
      <c r="S110" s="79">
        <f t="shared" ref="S110" si="46">L110</f>
        <v>0</v>
      </c>
    </row>
    <row r="111" spans="1:19" ht="12.5" x14ac:dyDescent="0.25">
      <c r="A111" s="17"/>
      <c r="B111" s="134"/>
      <c r="C111" s="135"/>
      <c r="D111" s="136"/>
      <c r="E111" s="137"/>
      <c r="F111" s="137"/>
      <c r="G111" s="137"/>
      <c r="H111" s="38"/>
      <c r="I111" s="38"/>
      <c r="J111" s="38"/>
      <c r="K111" s="38"/>
      <c r="L111" s="38"/>
      <c r="M111" s="38"/>
      <c r="O111" s="38"/>
      <c r="P111" s="38"/>
      <c r="Q111" s="138"/>
      <c r="R111" s="38"/>
      <c r="S111" s="38"/>
    </row>
    <row r="112" spans="1:19" ht="23" x14ac:dyDescent="0.25">
      <c r="A112" s="19"/>
      <c r="B112" s="2"/>
      <c r="C112" s="37"/>
      <c r="D112" s="117"/>
      <c r="E112" s="117"/>
      <c r="F112" s="117"/>
      <c r="G112" s="117"/>
      <c r="H112" s="118" t="s">
        <v>12</v>
      </c>
      <c r="I112" s="119"/>
      <c r="J112" s="118" t="s">
        <v>11</v>
      </c>
      <c r="K112" s="118" t="s">
        <v>10</v>
      </c>
      <c r="L112" s="119"/>
      <c r="M112" s="40"/>
      <c r="N112" s="19">
        <f>N106+L112</f>
        <v>0</v>
      </c>
      <c r="O112" s="36"/>
      <c r="P112" s="36"/>
      <c r="Q112" s="37"/>
      <c r="R112" s="37"/>
      <c r="S112" s="37"/>
    </row>
    <row r="113" spans="1:19" ht="15.5" x14ac:dyDescent="0.25">
      <c r="A113" s="93" t="s">
        <v>8</v>
      </c>
      <c r="B113" s="111">
        <f>B107+1</f>
        <v>17</v>
      </c>
      <c r="C113" s="37"/>
      <c r="D113" s="117"/>
      <c r="E113" s="251"/>
      <c r="F113" s="251"/>
      <c r="G113" s="120"/>
      <c r="H113" s="121">
        <f>IF($C$13="Yes",0,IF(SUM($C$10+B113)&lt;=2020,"6%",VLOOKUP($C$6&amp;SUM($C$10+B113),Data!$C:$D,2,FALSE)))</f>
        <v>0</v>
      </c>
      <c r="I113" s="117"/>
      <c r="J113" s="121">
        <f>VLOOKUP(C114,Data!$F:$I,3,FALSE)</f>
        <v>3.8E-3</v>
      </c>
      <c r="K113" s="121">
        <f>VLOOKUP(C114,Data!$F:$I,4,FALSE)</f>
        <v>1.06E-2</v>
      </c>
      <c r="L113" s="117"/>
      <c r="M113" s="37"/>
      <c r="N113" s="19">
        <f>N107+L113</f>
        <v>0</v>
      </c>
      <c r="O113" s="121" t="s">
        <v>53</v>
      </c>
      <c r="P113" s="121" t="s">
        <v>54</v>
      </c>
      <c r="Q113" s="122"/>
      <c r="R113" s="37"/>
      <c r="S113" s="37"/>
    </row>
    <row r="114" spans="1:19" x14ac:dyDescent="0.25">
      <c r="A114" s="17"/>
      <c r="B114" s="70" t="s">
        <v>6</v>
      </c>
      <c r="C114" s="70">
        <f>C108+1</f>
        <v>2044</v>
      </c>
      <c r="D114" s="70" t="s">
        <v>5</v>
      </c>
      <c r="E114" s="70" t="s">
        <v>9</v>
      </c>
      <c r="F114" s="70" t="s">
        <v>7</v>
      </c>
      <c r="G114" s="70" t="s">
        <v>1</v>
      </c>
      <c r="H114" s="70" t="s">
        <v>0</v>
      </c>
      <c r="I114" s="70" t="s">
        <v>5</v>
      </c>
      <c r="J114" s="70" t="s">
        <v>3</v>
      </c>
      <c r="K114" s="70" t="s">
        <v>2</v>
      </c>
      <c r="L114" s="70" t="s">
        <v>4</v>
      </c>
      <c r="M114" s="70" t="s">
        <v>13</v>
      </c>
      <c r="N114" s="20"/>
      <c r="O114" s="70" t="s">
        <v>26</v>
      </c>
      <c r="P114" s="70" t="s">
        <v>26</v>
      </c>
      <c r="Q114" s="70" t="s">
        <v>27</v>
      </c>
      <c r="R114" s="70" t="s">
        <v>28</v>
      </c>
      <c r="S114" s="70" t="s">
        <v>29</v>
      </c>
    </row>
    <row r="115" spans="1:19" ht="12.5" x14ac:dyDescent="0.25">
      <c r="A115" s="17" t="str">
        <f>B115&amp;$B$113</f>
        <v>Cap Con on Completion Type 117</v>
      </c>
      <c r="B115" s="83" t="str">
        <f>B109</f>
        <v>Cap Con on Completion Type 1</v>
      </c>
      <c r="C115" s="113">
        <f>C109+1</f>
        <v>16.5</v>
      </c>
      <c r="D115" s="115">
        <f>D109</f>
        <v>40</v>
      </c>
      <c r="E115" s="81">
        <f>E109*SUM(VLOOKUP(SUM($C$10+B107),Data!$F:$G,2,FALSE))</f>
        <v>45721439.257115535</v>
      </c>
      <c r="F115" s="81">
        <f>E115</f>
        <v>45721439.257115535</v>
      </c>
      <c r="G115" s="81">
        <f>IF($C$13="Yes",0,IF(C115&gt;D115,0,E115*(D115-C115)/D115))</f>
        <v>0</v>
      </c>
      <c r="H115" s="82">
        <f>IF(C115&gt;D115,0,G115*H113)</f>
        <v>0</v>
      </c>
      <c r="I115" s="130">
        <f>IF($C$13="Yes",0,IF(C115&gt;D115,0,E115*1/D115))</f>
        <v>0</v>
      </c>
      <c r="J115" s="82">
        <f>E115*J113</f>
        <v>173741.46917703902</v>
      </c>
      <c r="K115" s="82">
        <f>E115*K113</f>
        <v>484647.2561254247</v>
      </c>
      <c r="L115" s="82">
        <f t="shared" ref="L115:L116" si="47">SUM(H115:K115)</f>
        <v>658388.72530246375</v>
      </c>
      <c r="M115" s="82">
        <f>L115+L116</f>
        <v>658388.72530246375</v>
      </c>
      <c r="N115" s="19">
        <f>N109+L115</f>
        <v>7093714.8115053345</v>
      </c>
      <c r="O115" s="82">
        <f>SUM(R115:S116)</f>
        <v>658388.72530246375</v>
      </c>
      <c r="P115" s="82">
        <f>SUM(S115:S116)/2+SUM(R115:R116)</f>
        <v>329194.36265123187</v>
      </c>
      <c r="Q115" s="123">
        <f>C115+0.5</f>
        <v>17</v>
      </c>
      <c r="R115" s="189">
        <f>IF($C$13="Yes",0,IF(Q115&gt;D115,0,E115*(D115-Q115)/D115))</f>
        <v>0</v>
      </c>
      <c r="S115" s="82">
        <f>L115</f>
        <v>658388.72530246375</v>
      </c>
    </row>
    <row r="116" spans="1:19" ht="12.5" x14ac:dyDescent="0.25">
      <c r="A116" s="17" t="str">
        <f>B116&amp;$B$113</f>
        <v>Cap Con on Completion Type 117</v>
      </c>
      <c r="B116" s="84" t="str">
        <f>B110</f>
        <v>Cap Con on Completion Type 1</v>
      </c>
      <c r="C116" s="114">
        <f>C110+1</f>
        <v>16.5</v>
      </c>
      <c r="D116" s="116">
        <f>D110</f>
        <v>0</v>
      </c>
      <c r="E116" s="78">
        <f>E110*SUM(VLOOKUP(SUM($C$10+B107),Data!$F:$G,2,FALSE))</f>
        <v>0</v>
      </c>
      <c r="F116" s="78">
        <f t="shared" ref="F116" si="48">E116</f>
        <v>0</v>
      </c>
      <c r="G116" s="78">
        <f>IF($C$13="Yes",0,IF(C116&gt;D116,0,E116*(D116-C116)/D116))</f>
        <v>0</v>
      </c>
      <c r="H116" s="79">
        <f>IF(C116&gt;D116,0,G116*H113)</f>
        <v>0</v>
      </c>
      <c r="I116" s="131">
        <f>IF($C$13="Yes",0,IF(C116&gt;D116,0,E116*1/D116))</f>
        <v>0</v>
      </c>
      <c r="J116" s="79">
        <f>E116*J113</f>
        <v>0</v>
      </c>
      <c r="K116" s="79">
        <f>E116*K113</f>
        <v>0</v>
      </c>
      <c r="L116" s="79">
        <f t="shared" si="47"/>
        <v>0</v>
      </c>
      <c r="M116" s="79"/>
      <c r="N116" s="19">
        <f>N110+L116</f>
        <v>0</v>
      </c>
      <c r="O116" s="79"/>
      <c r="P116" s="79"/>
      <c r="Q116" s="124">
        <f>C116+0.5</f>
        <v>17</v>
      </c>
      <c r="R116" s="190">
        <f>IF($C$13="Yes",0,IF(Q116&gt;D116,0,E116*(D116-Q116)/D116))</f>
        <v>0</v>
      </c>
      <c r="S116" s="79">
        <f t="shared" ref="S116" si="49">L116</f>
        <v>0</v>
      </c>
    </row>
    <row r="117" spans="1:19" ht="12.5" x14ac:dyDescent="0.25">
      <c r="A117" s="17"/>
      <c r="B117" s="134"/>
      <c r="C117" s="135"/>
      <c r="D117" s="136"/>
      <c r="E117" s="137"/>
      <c r="F117" s="137"/>
      <c r="G117" s="137"/>
      <c r="H117" s="38"/>
      <c r="I117" s="38"/>
      <c r="J117" s="38"/>
      <c r="K117" s="38"/>
      <c r="L117" s="38"/>
      <c r="M117" s="38"/>
      <c r="O117" s="38"/>
      <c r="P117" s="38"/>
      <c r="Q117" s="138"/>
      <c r="R117" s="38"/>
      <c r="S117" s="38"/>
    </row>
    <row r="118" spans="1:19" ht="23" x14ac:dyDescent="0.25">
      <c r="A118" s="19"/>
      <c r="B118" s="2"/>
      <c r="C118" s="37"/>
      <c r="D118" s="117"/>
      <c r="E118" s="117"/>
      <c r="F118" s="117"/>
      <c r="G118" s="117"/>
      <c r="H118" s="118" t="s">
        <v>12</v>
      </c>
      <c r="I118" s="119"/>
      <c r="J118" s="118" t="s">
        <v>11</v>
      </c>
      <c r="K118" s="118" t="s">
        <v>10</v>
      </c>
      <c r="L118" s="119"/>
      <c r="M118" s="40"/>
      <c r="N118" s="19">
        <f>N112+L118</f>
        <v>0</v>
      </c>
      <c r="O118" s="36"/>
      <c r="P118" s="36"/>
      <c r="Q118" s="37"/>
      <c r="R118" s="37"/>
      <c r="S118" s="37"/>
    </row>
    <row r="119" spans="1:19" ht="15.5" x14ac:dyDescent="0.25">
      <c r="A119" s="93" t="s">
        <v>8</v>
      </c>
      <c r="B119" s="111">
        <f>B113+1</f>
        <v>18</v>
      </c>
      <c r="C119" s="37"/>
      <c r="D119" s="117"/>
      <c r="E119" s="251"/>
      <c r="F119" s="251"/>
      <c r="G119" s="120"/>
      <c r="H119" s="121">
        <f>IF($C$13="Yes",0,IF(SUM($C$10+B119)&lt;=2020,"6%",VLOOKUP($C$6&amp;SUM($C$10+B119),Data!$C:$D,2,FALSE)))</f>
        <v>0</v>
      </c>
      <c r="I119" s="117"/>
      <c r="J119" s="121">
        <f>VLOOKUP(C120,Data!$F:$I,3,FALSE)</f>
        <v>3.8E-3</v>
      </c>
      <c r="K119" s="121">
        <f>VLOOKUP(C120,Data!$F:$I,4,FALSE)</f>
        <v>1.06E-2</v>
      </c>
      <c r="L119" s="117"/>
      <c r="M119" s="37"/>
      <c r="N119" s="19">
        <f>N113+L119</f>
        <v>0</v>
      </c>
      <c r="O119" s="121" t="s">
        <v>53</v>
      </c>
      <c r="P119" s="121" t="s">
        <v>54</v>
      </c>
      <c r="Q119" s="122"/>
      <c r="R119" s="37"/>
      <c r="S119" s="37"/>
    </row>
    <row r="120" spans="1:19" x14ac:dyDescent="0.25">
      <c r="A120" s="17"/>
      <c r="B120" s="70" t="s">
        <v>6</v>
      </c>
      <c r="C120" s="70">
        <f>C114+1</f>
        <v>2045</v>
      </c>
      <c r="D120" s="70" t="s">
        <v>5</v>
      </c>
      <c r="E120" s="70" t="s">
        <v>9</v>
      </c>
      <c r="F120" s="70" t="s">
        <v>7</v>
      </c>
      <c r="G120" s="70" t="s">
        <v>1</v>
      </c>
      <c r="H120" s="70" t="s">
        <v>0</v>
      </c>
      <c r="I120" s="70" t="s">
        <v>5</v>
      </c>
      <c r="J120" s="70" t="s">
        <v>3</v>
      </c>
      <c r="K120" s="70" t="s">
        <v>2</v>
      </c>
      <c r="L120" s="70" t="s">
        <v>4</v>
      </c>
      <c r="M120" s="70" t="s">
        <v>13</v>
      </c>
      <c r="N120" s="20"/>
      <c r="O120" s="70" t="s">
        <v>26</v>
      </c>
      <c r="P120" s="70" t="s">
        <v>26</v>
      </c>
      <c r="Q120" s="70" t="s">
        <v>27</v>
      </c>
      <c r="R120" s="70" t="s">
        <v>28</v>
      </c>
      <c r="S120" s="70" t="s">
        <v>29</v>
      </c>
    </row>
    <row r="121" spans="1:19" ht="12.5" x14ac:dyDescent="0.25">
      <c r="A121" s="17" t="str">
        <f>B121&amp;$B$119</f>
        <v>Cap Con on Completion Type 118</v>
      </c>
      <c r="B121" s="83" t="str">
        <f>B115</f>
        <v>Cap Con on Completion Type 1</v>
      </c>
      <c r="C121" s="113">
        <f>C115+1</f>
        <v>17.5</v>
      </c>
      <c r="D121" s="115">
        <f>D115</f>
        <v>40</v>
      </c>
      <c r="E121" s="81">
        <f>E115*SUM(VLOOKUP(SUM($C$10+B113),Data!$F:$G,2,FALSE))</f>
        <v>48688760.664902329</v>
      </c>
      <c r="F121" s="81">
        <f>E121</f>
        <v>48688760.664902329</v>
      </c>
      <c r="G121" s="81">
        <f>IF($C$13="Yes",0,IF(C121&gt;D121,0,E121*(D121-C121)/D121))</f>
        <v>0</v>
      </c>
      <c r="H121" s="82">
        <f>IF(C121&gt;D121,0,G121*H119)</f>
        <v>0</v>
      </c>
      <c r="I121" s="130">
        <f>IF($C$13="Yes",0,IF(C121&gt;D121,0,E121*1/D121))</f>
        <v>0</v>
      </c>
      <c r="J121" s="82">
        <f>E121*J119</f>
        <v>185017.29052662884</v>
      </c>
      <c r="K121" s="82">
        <f>E121*K119</f>
        <v>516100.8630479647</v>
      </c>
      <c r="L121" s="82">
        <f t="shared" ref="L121:L122" si="50">SUM(H121:K121)</f>
        <v>701118.1535745936</v>
      </c>
      <c r="M121" s="82">
        <f>L121+L122</f>
        <v>701118.1535745936</v>
      </c>
      <c r="N121" s="19">
        <f>N115+L121</f>
        <v>7794832.9650799278</v>
      </c>
      <c r="O121" s="82">
        <f>SUM(R121:S122)</f>
        <v>701118.1535745936</v>
      </c>
      <c r="P121" s="82">
        <f>SUM(S121:S122)/2+SUM(R121:R122)</f>
        <v>350559.0767872968</v>
      </c>
      <c r="Q121" s="123">
        <f>C121+0.5</f>
        <v>18</v>
      </c>
      <c r="R121" s="189">
        <f>IF($C$13="Yes",0,IF(Q121&gt;D121,0,E121*(D121-Q121)/D121))</f>
        <v>0</v>
      </c>
      <c r="S121" s="82">
        <f>L121</f>
        <v>701118.1535745936</v>
      </c>
    </row>
    <row r="122" spans="1:19" ht="12.5" x14ac:dyDescent="0.25">
      <c r="A122" s="17" t="str">
        <f>B122&amp;$B$119</f>
        <v>Cap Con on Completion Type 118</v>
      </c>
      <c r="B122" s="84" t="str">
        <f>B116</f>
        <v>Cap Con on Completion Type 1</v>
      </c>
      <c r="C122" s="114">
        <f>C116+1</f>
        <v>17.5</v>
      </c>
      <c r="D122" s="116">
        <f>D116</f>
        <v>0</v>
      </c>
      <c r="E122" s="78">
        <f>E116*SUM(VLOOKUP(SUM($C$10+B113),Data!$F:$G,2,FALSE))</f>
        <v>0</v>
      </c>
      <c r="F122" s="78">
        <f t="shared" ref="F122" si="51">E122</f>
        <v>0</v>
      </c>
      <c r="G122" s="78">
        <f>IF($C$13="Yes",0,IF(C122&gt;D122,0,E122*(D122-C122)/D122))</f>
        <v>0</v>
      </c>
      <c r="H122" s="79">
        <f>IF(C122&gt;D122,0,G122*H119)</f>
        <v>0</v>
      </c>
      <c r="I122" s="131">
        <f>IF($C$13="Yes",0,IF(C122&gt;D122,0,E122*1/D122))</f>
        <v>0</v>
      </c>
      <c r="J122" s="79">
        <f>E122*J119</f>
        <v>0</v>
      </c>
      <c r="K122" s="79">
        <f>E122*K119</f>
        <v>0</v>
      </c>
      <c r="L122" s="79">
        <f t="shared" si="50"/>
        <v>0</v>
      </c>
      <c r="M122" s="79"/>
      <c r="N122" s="19">
        <f>N116+L122</f>
        <v>0</v>
      </c>
      <c r="O122" s="79"/>
      <c r="P122" s="79"/>
      <c r="Q122" s="124">
        <f>C122+0.5</f>
        <v>18</v>
      </c>
      <c r="R122" s="190">
        <f>IF($C$13="Yes",0,IF(Q122&gt;D122,0,E122*(D122-Q122)/D122))</f>
        <v>0</v>
      </c>
      <c r="S122" s="79">
        <f t="shared" ref="S122" si="52">L122</f>
        <v>0</v>
      </c>
    </row>
    <row r="123" spans="1:19" ht="12.5" x14ac:dyDescent="0.25">
      <c r="A123" s="17"/>
      <c r="B123" s="134"/>
      <c r="C123" s="135"/>
      <c r="D123" s="136"/>
      <c r="E123" s="137"/>
      <c r="F123" s="137"/>
      <c r="G123" s="137"/>
      <c r="H123" s="38"/>
      <c r="I123" s="38"/>
      <c r="J123" s="38"/>
      <c r="K123" s="38"/>
      <c r="L123" s="38"/>
      <c r="M123" s="38"/>
      <c r="O123" s="38"/>
      <c r="P123" s="38"/>
      <c r="Q123" s="138"/>
      <c r="R123" s="38"/>
      <c r="S123" s="38"/>
    </row>
    <row r="124" spans="1:19" ht="23" x14ac:dyDescent="0.25">
      <c r="A124" s="19"/>
      <c r="B124" s="2"/>
      <c r="C124" s="37"/>
      <c r="D124" s="117"/>
      <c r="E124" s="117"/>
      <c r="F124" s="117"/>
      <c r="G124" s="117"/>
      <c r="H124" s="118" t="s">
        <v>12</v>
      </c>
      <c r="I124" s="119"/>
      <c r="J124" s="118" t="s">
        <v>11</v>
      </c>
      <c r="K124" s="118" t="s">
        <v>10</v>
      </c>
      <c r="L124" s="119"/>
      <c r="M124" s="40"/>
      <c r="N124" s="19">
        <f>N118+L124</f>
        <v>0</v>
      </c>
      <c r="O124" s="36"/>
      <c r="P124" s="36"/>
      <c r="Q124" s="37"/>
      <c r="R124" s="37"/>
      <c r="S124" s="37"/>
    </row>
    <row r="125" spans="1:19" ht="15.5" x14ac:dyDescent="0.25">
      <c r="A125" s="93" t="s">
        <v>8</v>
      </c>
      <c r="B125" s="111">
        <f>B119+1</f>
        <v>19</v>
      </c>
      <c r="C125" s="37"/>
      <c r="D125" s="117"/>
      <c r="E125" s="251"/>
      <c r="F125" s="251"/>
      <c r="G125" s="120"/>
      <c r="H125" s="121">
        <f>IF($C$13="Yes",0,IF(SUM($C$10+B125)&lt;=2020,"6%",VLOOKUP($C$6&amp;SUM($C$10+B125),Data!$C:$D,2,FALSE)))</f>
        <v>0</v>
      </c>
      <c r="I125" s="117"/>
      <c r="J125" s="121">
        <f>VLOOKUP(C126,Data!$F:$I,3,FALSE)</f>
        <v>3.8E-3</v>
      </c>
      <c r="K125" s="121">
        <f>VLOOKUP(C126,Data!$F:$I,4,FALSE)</f>
        <v>1.06E-2</v>
      </c>
      <c r="L125" s="117"/>
      <c r="M125" s="37"/>
      <c r="N125" s="19">
        <f>N119+L125</f>
        <v>0</v>
      </c>
      <c r="O125" s="121" t="s">
        <v>53</v>
      </c>
      <c r="P125" s="121" t="s">
        <v>54</v>
      </c>
      <c r="Q125" s="122"/>
      <c r="R125" s="37"/>
      <c r="S125" s="37"/>
    </row>
    <row r="126" spans="1:19" x14ac:dyDescent="0.25">
      <c r="A126" s="17"/>
      <c r="B126" s="70" t="s">
        <v>6</v>
      </c>
      <c r="C126" s="70">
        <f>C120+1</f>
        <v>2046</v>
      </c>
      <c r="D126" s="70" t="s">
        <v>5</v>
      </c>
      <c r="E126" s="70" t="s">
        <v>9</v>
      </c>
      <c r="F126" s="70" t="s">
        <v>7</v>
      </c>
      <c r="G126" s="70" t="s">
        <v>1</v>
      </c>
      <c r="H126" s="70" t="s">
        <v>0</v>
      </c>
      <c r="I126" s="70" t="s">
        <v>5</v>
      </c>
      <c r="J126" s="70" t="s">
        <v>3</v>
      </c>
      <c r="K126" s="70" t="s">
        <v>2</v>
      </c>
      <c r="L126" s="70" t="s">
        <v>4</v>
      </c>
      <c r="M126" s="70" t="s">
        <v>13</v>
      </c>
      <c r="N126" s="20"/>
      <c r="O126" s="70" t="s">
        <v>26</v>
      </c>
      <c r="P126" s="70" t="s">
        <v>26</v>
      </c>
      <c r="Q126" s="70" t="s">
        <v>27</v>
      </c>
      <c r="R126" s="70" t="s">
        <v>28</v>
      </c>
      <c r="S126" s="70" t="s">
        <v>29</v>
      </c>
    </row>
    <row r="127" spans="1:19" ht="12.5" x14ac:dyDescent="0.25">
      <c r="A127" s="17" t="str">
        <f>B127&amp;$B$125</f>
        <v>Cap Con on Completion Type 119</v>
      </c>
      <c r="B127" s="83" t="str">
        <f>B121</f>
        <v>Cap Con on Completion Type 1</v>
      </c>
      <c r="C127" s="113">
        <f>C121+1</f>
        <v>18.5</v>
      </c>
      <c r="D127" s="115">
        <f>D121</f>
        <v>40</v>
      </c>
      <c r="E127" s="81">
        <f>E121*SUM(VLOOKUP(SUM($C$10+B119),Data!$F:$G,2,FALSE))</f>
        <v>51848661.232054487</v>
      </c>
      <c r="F127" s="81">
        <f>E127</f>
        <v>51848661.232054487</v>
      </c>
      <c r="G127" s="81">
        <f>IF($C$13="Yes",0,IF(C127&gt;D127,0,E127*(D127-C127)/D127))</f>
        <v>0</v>
      </c>
      <c r="H127" s="82">
        <f>IF(C127&gt;D127,0,G127*H125)</f>
        <v>0</v>
      </c>
      <c r="I127" s="130">
        <f>IF($C$13="Yes",0,IF(C127&gt;D127,0,E127*1/D127))</f>
        <v>0</v>
      </c>
      <c r="J127" s="82">
        <f>E127*J125</f>
        <v>197024.91268180704</v>
      </c>
      <c r="K127" s="82">
        <f>E127*K125</f>
        <v>549595.80905977753</v>
      </c>
      <c r="L127" s="82">
        <f t="shared" ref="L127:L128" si="53">SUM(H127:K127)</f>
        <v>746620.7217415846</v>
      </c>
      <c r="M127" s="82">
        <f>L127+L128</f>
        <v>746620.7217415846</v>
      </c>
      <c r="N127" s="19">
        <f>N121+L127</f>
        <v>8541453.6868215129</v>
      </c>
      <c r="O127" s="82">
        <f>SUM(R127:S128)</f>
        <v>746620.7217415846</v>
      </c>
      <c r="P127" s="82">
        <f>SUM(S127:S128)/2+SUM(R127:R128)</f>
        <v>373310.3608707923</v>
      </c>
      <c r="Q127" s="123">
        <f>C127+0.5</f>
        <v>19</v>
      </c>
      <c r="R127" s="189">
        <f>IF($C$13="Yes",0,IF(Q127&gt;D127,0,E127*(D127-Q127)/D127))</f>
        <v>0</v>
      </c>
      <c r="S127" s="82">
        <f>L127</f>
        <v>746620.7217415846</v>
      </c>
    </row>
    <row r="128" spans="1:19" ht="12.5" x14ac:dyDescent="0.25">
      <c r="A128" s="17" t="str">
        <f>B128&amp;$B$125</f>
        <v>Cap Con on Completion Type 119</v>
      </c>
      <c r="B128" s="84" t="str">
        <f>B122</f>
        <v>Cap Con on Completion Type 1</v>
      </c>
      <c r="C128" s="114">
        <f>C122+1</f>
        <v>18.5</v>
      </c>
      <c r="D128" s="116">
        <f>D122</f>
        <v>0</v>
      </c>
      <c r="E128" s="78">
        <f>E122*SUM(VLOOKUP(SUM($C$10+B119),Data!$F:$G,2,FALSE))</f>
        <v>0</v>
      </c>
      <c r="F128" s="78">
        <f t="shared" ref="F128" si="54">E128</f>
        <v>0</v>
      </c>
      <c r="G128" s="78">
        <f>IF($C$13="Yes",0,IF(C128&gt;D128,0,E128*(D128-C128)/D128))</f>
        <v>0</v>
      </c>
      <c r="H128" s="79">
        <f>IF(C128&gt;D128,0,G128*H125)</f>
        <v>0</v>
      </c>
      <c r="I128" s="131">
        <f>IF($C$13="Yes",0,IF(C128&gt;D128,0,E128*1/D128))</f>
        <v>0</v>
      </c>
      <c r="J128" s="79">
        <f>E128*J125</f>
        <v>0</v>
      </c>
      <c r="K128" s="79">
        <f>E128*K125</f>
        <v>0</v>
      </c>
      <c r="L128" s="79">
        <f t="shared" si="53"/>
        <v>0</v>
      </c>
      <c r="M128" s="79"/>
      <c r="N128" s="19">
        <f>N122+L128</f>
        <v>0</v>
      </c>
      <c r="O128" s="79"/>
      <c r="P128" s="79"/>
      <c r="Q128" s="124">
        <f>C128+0.5</f>
        <v>19</v>
      </c>
      <c r="R128" s="190">
        <f>IF($C$13="Yes",0,IF(Q128&gt;D128,0,E128*(D128-Q128)/D128))</f>
        <v>0</v>
      </c>
      <c r="S128" s="79">
        <f t="shared" ref="S128" si="55">L128</f>
        <v>0</v>
      </c>
    </row>
    <row r="129" spans="1:19" ht="12.5" x14ac:dyDescent="0.25">
      <c r="A129" s="17"/>
      <c r="B129" s="134"/>
      <c r="C129" s="135"/>
      <c r="D129" s="136"/>
      <c r="E129" s="137"/>
      <c r="F129" s="137"/>
      <c r="G129" s="137"/>
      <c r="H129" s="38"/>
      <c r="I129" s="38"/>
      <c r="J129" s="38"/>
      <c r="K129" s="38"/>
      <c r="L129" s="38"/>
      <c r="M129" s="38"/>
      <c r="O129" s="38"/>
      <c r="P129" s="38"/>
      <c r="Q129" s="138"/>
      <c r="R129" s="38"/>
      <c r="S129" s="38"/>
    </row>
    <row r="130" spans="1:19" ht="23" x14ac:dyDescent="0.25">
      <c r="A130" s="19"/>
      <c r="B130" s="2"/>
      <c r="C130" s="37"/>
      <c r="D130" s="117"/>
      <c r="E130" s="117"/>
      <c r="F130" s="117"/>
      <c r="G130" s="117"/>
      <c r="H130" s="118" t="s">
        <v>12</v>
      </c>
      <c r="I130" s="119"/>
      <c r="J130" s="118" t="s">
        <v>11</v>
      </c>
      <c r="K130" s="118" t="s">
        <v>10</v>
      </c>
      <c r="L130" s="119"/>
      <c r="M130" s="40"/>
      <c r="N130" s="19">
        <f>N124+L130</f>
        <v>0</v>
      </c>
      <c r="O130" s="36"/>
      <c r="P130" s="36"/>
      <c r="Q130" s="37"/>
      <c r="R130" s="37"/>
      <c r="S130" s="37"/>
    </row>
    <row r="131" spans="1:19" ht="15.5" x14ac:dyDescent="0.25">
      <c r="A131" s="93" t="s">
        <v>8</v>
      </c>
      <c r="B131" s="111">
        <f>B125+1</f>
        <v>20</v>
      </c>
      <c r="C131" s="37"/>
      <c r="D131" s="117"/>
      <c r="E131" s="251"/>
      <c r="F131" s="251"/>
      <c r="G131" s="120"/>
      <c r="H131" s="121">
        <f>IF($C$13="Yes",0,IF(SUM($C$10+B131)&lt;=2020,"6%",VLOOKUP($C$6&amp;SUM($C$10+B131),Data!$C:$D,2,FALSE)))</f>
        <v>0</v>
      </c>
      <c r="I131" s="117"/>
      <c r="J131" s="121">
        <f>VLOOKUP(C132,Data!$F:$I,3,FALSE)</f>
        <v>3.8E-3</v>
      </c>
      <c r="K131" s="121">
        <f>VLOOKUP(C132,Data!$F:$I,4,FALSE)</f>
        <v>1.06E-2</v>
      </c>
      <c r="L131" s="117"/>
      <c r="M131" s="37"/>
      <c r="N131" s="19">
        <f>N125+L131</f>
        <v>0</v>
      </c>
      <c r="O131" s="121" t="s">
        <v>53</v>
      </c>
      <c r="P131" s="121" t="s">
        <v>54</v>
      </c>
      <c r="Q131" s="122"/>
      <c r="R131" s="37"/>
      <c r="S131" s="37"/>
    </row>
    <row r="132" spans="1:19" x14ac:dyDescent="0.25">
      <c r="A132" s="17"/>
      <c r="B132" s="70" t="s">
        <v>6</v>
      </c>
      <c r="C132" s="70">
        <f>C126+1</f>
        <v>2047</v>
      </c>
      <c r="D132" s="70" t="s">
        <v>5</v>
      </c>
      <c r="E132" s="70" t="s">
        <v>9</v>
      </c>
      <c r="F132" s="70" t="s">
        <v>7</v>
      </c>
      <c r="G132" s="70" t="s">
        <v>1</v>
      </c>
      <c r="H132" s="70" t="s">
        <v>0</v>
      </c>
      <c r="I132" s="70" t="s">
        <v>5</v>
      </c>
      <c r="J132" s="70" t="s">
        <v>3</v>
      </c>
      <c r="K132" s="70" t="s">
        <v>2</v>
      </c>
      <c r="L132" s="70" t="s">
        <v>4</v>
      </c>
      <c r="M132" s="70" t="s">
        <v>13</v>
      </c>
      <c r="N132" s="20"/>
      <c r="O132" s="70" t="s">
        <v>26</v>
      </c>
      <c r="P132" s="70" t="s">
        <v>26</v>
      </c>
      <c r="Q132" s="70" t="s">
        <v>27</v>
      </c>
      <c r="R132" s="70" t="s">
        <v>28</v>
      </c>
      <c r="S132" s="70" t="s">
        <v>29</v>
      </c>
    </row>
    <row r="133" spans="1:19" ht="12.5" x14ac:dyDescent="0.25">
      <c r="A133" s="17" t="str">
        <f>B133&amp;$B$131</f>
        <v>Cap Con on Completion Type 120</v>
      </c>
      <c r="B133" s="83" t="str">
        <f>B127</f>
        <v>Cap Con on Completion Type 1</v>
      </c>
      <c r="C133" s="113">
        <f>C127+1</f>
        <v>19.5</v>
      </c>
      <c r="D133" s="115">
        <f>D127</f>
        <v>40</v>
      </c>
      <c r="E133" s="81">
        <f>E127*SUM(VLOOKUP(SUM($C$10+B125),Data!$F:$G,2,FALSE))</f>
        <v>55213639.34601482</v>
      </c>
      <c r="F133" s="81">
        <f>E133</f>
        <v>55213639.34601482</v>
      </c>
      <c r="G133" s="81">
        <f>IF($C$13="Yes",0,IF(C133&gt;D133,0,E133*(D133-C133)/D133))</f>
        <v>0</v>
      </c>
      <c r="H133" s="82">
        <f>IF(C133&gt;D133,0,G133*H131)</f>
        <v>0</v>
      </c>
      <c r="I133" s="130">
        <f>IF($C$13="Yes",0,IF(C133&gt;D133,0,E133*1/D133))</f>
        <v>0</v>
      </c>
      <c r="J133" s="82">
        <f>E133*J131</f>
        <v>209811.8295148563</v>
      </c>
      <c r="K133" s="82">
        <f>E133*K131</f>
        <v>585264.57706775714</v>
      </c>
      <c r="L133" s="82">
        <f t="shared" ref="L133:L134" si="56">SUM(H133:K133)</f>
        <v>795076.40658261348</v>
      </c>
      <c r="M133" s="82">
        <f>L133+L134</f>
        <v>795076.40658261348</v>
      </c>
      <c r="N133" s="19">
        <f>N127+L133</f>
        <v>9336530.0934041254</v>
      </c>
      <c r="O133" s="82">
        <f>SUM(R133:S134)</f>
        <v>795076.40658261348</v>
      </c>
      <c r="P133" s="82">
        <f>SUM(S133:S134)/2+SUM(R133:R134)</f>
        <v>397538.20329130674</v>
      </c>
      <c r="Q133" s="123">
        <f>C133+0.5</f>
        <v>20</v>
      </c>
      <c r="R133" s="189">
        <f>IF($C$13="Yes",0,IF(Q133&gt;D133,0,E133*(D133-Q133)/D133))</f>
        <v>0</v>
      </c>
      <c r="S133" s="82">
        <f>L133</f>
        <v>795076.40658261348</v>
      </c>
    </row>
    <row r="134" spans="1:19" ht="12.5" x14ac:dyDescent="0.25">
      <c r="A134" s="17" t="str">
        <f>B134&amp;$B$131</f>
        <v>Cap Con on Completion Type 120</v>
      </c>
      <c r="B134" s="84" t="str">
        <f>B128</f>
        <v>Cap Con on Completion Type 1</v>
      </c>
      <c r="C134" s="114">
        <f>C128+1</f>
        <v>19.5</v>
      </c>
      <c r="D134" s="116">
        <f>D128</f>
        <v>0</v>
      </c>
      <c r="E134" s="78">
        <f>E128*SUM(VLOOKUP(SUM($C$10+B125),Data!$F:$G,2,FALSE))</f>
        <v>0</v>
      </c>
      <c r="F134" s="78">
        <f t="shared" ref="F134" si="57">E134</f>
        <v>0</v>
      </c>
      <c r="G134" s="78">
        <f>IF($C$13="Yes",0,IF(C134&gt;D134,0,E134*(D134-C134)/D134))</f>
        <v>0</v>
      </c>
      <c r="H134" s="79">
        <f>IF(C134&gt;D134,0,G134*H131)</f>
        <v>0</v>
      </c>
      <c r="I134" s="131">
        <f>IF($C$13="Yes",0,IF(C134&gt;D134,0,E134*1/D134))</f>
        <v>0</v>
      </c>
      <c r="J134" s="79">
        <f>E134*J131</f>
        <v>0</v>
      </c>
      <c r="K134" s="79">
        <f>E134*K131</f>
        <v>0</v>
      </c>
      <c r="L134" s="79">
        <f t="shared" si="56"/>
        <v>0</v>
      </c>
      <c r="M134" s="79"/>
      <c r="N134" s="19">
        <f>N128+L134</f>
        <v>0</v>
      </c>
      <c r="O134" s="79"/>
      <c r="P134" s="79"/>
      <c r="Q134" s="124">
        <f>C134+0.5</f>
        <v>20</v>
      </c>
      <c r="R134" s="190">
        <f>IF($C$13="Yes",0,IF(Q134&gt;D134,0,E134*(D134-Q134)/D134))</f>
        <v>0</v>
      </c>
      <c r="S134" s="79">
        <f t="shared" ref="S134" si="58">L134</f>
        <v>0</v>
      </c>
    </row>
    <row r="135" spans="1:19" ht="12.5" x14ac:dyDescent="0.25">
      <c r="A135" s="17"/>
      <c r="B135" s="134"/>
      <c r="C135" s="135"/>
      <c r="D135" s="136"/>
      <c r="E135" s="137"/>
      <c r="F135" s="137"/>
      <c r="G135" s="137"/>
      <c r="H135" s="38"/>
      <c r="I135" s="38"/>
      <c r="J135" s="38"/>
      <c r="K135" s="38"/>
      <c r="L135" s="38"/>
      <c r="M135" s="38"/>
      <c r="O135" s="38"/>
      <c r="P135" s="38"/>
      <c r="Q135" s="138"/>
      <c r="R135" s="38"/>
      <c r="S135" s="38"/>
    </row>
    <row r="136" spans="1:19" ht="23" x14ac:dyDescent="0.25">
      <c r="A136" s="19"/>
      <c r="B136" s="2"/>
      <c r="C136" s="37"/>
      <c r="D136" s="117"/>
      <c r="E136" s="117"/>
      <c r="F136" s="117"/>
      <c r="G136" s="117"/>
      <c r="H136" s="118" t="s">
        <v>12</v>
      </c>
      <c r="I136" s="119"/>
      <c r="J136" s="118" t="s">
        <v>11</v>
      </c>
      <c r="K136" s="118" t="s">
        <v>10</v>
      </c>
      <c r="L136" s="119"/>
      <c r="M136" s="40"/>
      <c r="N136" s="19">
        <f>N130+L136</f>
        <v>0</v>
      </c>
      <c r="O136" s="36"/>
      <c r="P136" s="36"/>
      <c r="Q136" s="37"/>
      <c r="R136" s="37"/>
      <c r="S136" s="37"/>
    </row>
    <row r="137" spans="1:19" ht="15.5" x14ac:dyDescent="0.25">
      <c r="A137" s="93" t="s">
        <v>8</v>
      </c>
      <c r="B137" s="111">
        <f>B131+1</f>
        <v>21</v>
      </c>
      <c r="C137" s="37"/>
      <c r="D137" s="117"/>
      <c r="E137" s="251"/>
      <c r="F137" s="251"/>
      <c r="G137" s="120"/>
      <c r="H137" s="121">
        <f>IF($C$13="Yes",0,IF(SUM($C$10+B137)&lt;=2020,"6%",VLOOKUP($C$6&amp;SUM($C$10+B137),Data!$C:$D,2,FALSE)))</f>
        <v>0</v>
      </c>
      <c r="I137" s="117"/>
      <c r="J137" s="121">
        <f>VLOOKUP(C138,Data!$F:$I,3,FALSE)</f>
        <v>3.8E-3</v>
      </c>
      <c r="K137" s="121">
        <f>VLOOKUP(C138,Data!$F:$I,4,FALSE)</f>
        <v>1.06E-2</v>
      </c>
      <c r="L137" s="117"/>
      <c r="M137" s="37"/>
      <c r="N137" s="19">
        <f>N131+L137</f>
        <v>0</v>
      </c>
      <c r="O137" s="121" t="s">
        <v>53</v>
      </c>
      <c r="P137" s="121" t="s">
        <v>54</v>
      </c>
      <c r="Q137" s="122"/>
      <c r="R137" s="37"/>
      <c r="S137" s="37"/>
    </row>
    <row r="138" spans="1:19" x14ac:dyDescent="0.25">
      <c r="A138" s="17"/>
      <c r="B138" s="70" t="s">
        <v>6</v>
      </c>
      <c r="C138" s="70">
        <f>C132+1</f>
        <v>2048</v>
      </c>
      <c r="D138" s="70" t="s">
        <v>5</v>
      </c>
      <c r="E138" s="70" t="s">
        <v>9</v>
      </c>
      <c r="F138" s="70" t="s">
        <v>7</v>
      </c>
      <c r="G138" s="70" t="s">
        <v>1</v>
      </c>
      <c r="H138" s="70" t="s">
        <v>0</v>
      </c>
      <c r="I138" s="70" t="s">
        <v>5</v>
      </c>
      <c r="J138" s="70" t="s">
        <v>3</v>
      </c>
      <c r="K138" s="70" t="s">
        <v>2</v>
      </c>
      <c r="L138" s="70" t="s">
        <v>4</v>
      </c>
      <c r="M138" s="70" t="s">
        <v>13</v>
      </c>
      <c r="N138" s="20"/>
      <c r="O138" s="70" t="s">
        <v>26</v>
      </c>
      <c r="P138" s="70" t="s">
        <v>26</v>
      </c>
      <c r="Q138" s="70" t="s">
        <v>27</v>
      </c>
      <c r="R138" s="70" t="s">
        <v>28</v>
      </c>
      <c r="S138" s="70" t="s">
        <v>29</v>
      </c>
    </row>
    <row r="139" spans="1:19" ht="12.5" x14ac:dyDescent="0.25">
      <c r="A139" s="17" t="str">
        <f>B139&amp;$B$137</f>
        <v>Cap Con on Completion Type 121</v>
      </c>
      <c r="B139" s="83" t="str">
        <f>B133</f>
        <v>Cap Con on Completion Type 1</v>
      </c>
      <c r="C139" s="113">
        <f>C133+1</f>
        <v>20.5</v>
      </c>
      <c r="D139" s="115">
        <f>D133</f>
        <v>40</v>
      </c>
      <c r="E139" s="81">
        <f>E133*SUM(VLOOKUP(SUM($C$10+B131),Data!$F:$G,2,FALSE))</f>
        <v>58797004.539571181</v>
      </c>
      <c r="F139" s="81">
        <f>E139</f>
        <v>58797004.539571181</v>
      </c>
      <c r="G139" s="81">
        <f>IF($C$13="Yes",0,IF(C139&gt;D139,0,E139*(D139-C139)/D139))</f>
        <v>0</v>
      </c>
      <c r="H139" s="82">
        <f>IF(C139&gt;D139,0,G139*H137)</f>
        <v>0</v>
      </c>
      <c r="I139" s="130">
        <f>IF($C$13="Yes",0,IF(C139&gt;D139,0,E139*1/D139))</f>
        <v>0</v>
      </c>
      <c r="J139" s="82">
        <f>E139*J137</f>
        <v>223428.61725037047</v>
      </c>
      <c r="K139" s="82">
        <f>E139*K137</f>
        <v>623248.24811945448</v>
      </c>
      <c r="L139" s="82">
        <f t="shared" ref="L139:L140" si="59">SUM(H139:K139)</f>
        <v>846676.86536982493</v>
      </c>
      <c r="M139" s="82">
        <f>L139+L140</f>
        <v>846676.86536982493</v>
      </c>
      <c r="N139" s="19">
        <f>N133+L139</f>
        <v>10183206.95877395</v>
      </c>
      <c r="O139" s="82">
        <f>SUM(R139:S140)</f>
        <v>846676.86536982493</v>
      </c>
      <c r="P139" s="82">
        <f>SUM(S139:S140)/2+SUM(R139:R140)</f>
        <v>423338.43268491246</v>
      </c>
      <c r="Q139" s="123">
        <f>C139+0.5</f>
        <v>21</v>
      </c>
      <c r="R139" s="189">
        <f>IF($C$13="Yes",0,IF(Q139&gt;D139,0,E139*(D139-Q139)/D139))</f>
        <v>0</v>
      </c>
      <c r="S139" s="82">
        <f>L139</f>
        <v>846676.86536982493</v>
      </c>
    </row>
    <row r="140" spans="1:19" ht="12.5" x14ac:dyDescent="0.25">
      <c r="A140" s="17" t="str">
        <f>B140&amp;$B$137</f>
        <v>Cap Con on Completion Type 121</v>
      </c>
      <c r="B140" s="84" t="str">
        <f>B134</f>
        <v>Cap Con on Completion Type 1</v>
      </c>
      <c r="C140" s="114">
        <f>C134+1</f>
        <v>20.5</v>
      </c>
      <c r="D140" s="116">
        <f>D134</f>
        <v>0</v>
      </c>
      <c r="E140" s="78">
        <f>E134*SUM(VLOOKUP(SUM($C$10+B131),Data!$F:$G,2,FALSE))</f>
        <v>0</v>
      </c>
      <c r="F140" s="78">
        <f t="shared" ref="F140" si="60">E140</f>
        <v>0</v>
      </c>
      <c r="G140" s="78">
        <f>IF($C$13="Yes",0,IF(C140&gt;D140,0,E140*(D140-C140)/D140))</f>
        <v>0</v>
      </c>
      <c r="H140" s="79">
        <f>IF(C140&gt;D140,0,G140*H137)</f>
        <v>0</v>
      </c>
      <c r="I140" s="131">
        <f>IF($C$13="Yes",0,IF(C140&gt;D140,0,E140*1/D140))</f>
        <v>0</v>
      </c>
      <c r="J140" s="79">
        <f>E140*J137</f>
        <v>0</v>
      </c>
      <c r="K140" s="79">
        <f>E140*K137</f>
        <v>0</v>
      </c>
      <c r="L140" s="79">
        <f t="shared" si="59"/>
        <v>0</v>
      </c>
      <c r="M140" s="79"/>
      <c r="N140" s="19">
        <f>N134+L140</f>
        <v>0</v>
      </c>
      <c r="O140" s="79"/>
      <c r="P140" s="79"/>
      <c r="Q140" s="124">
        <f>C140+0.5</f>
        <v>21</v>
      </c>
      <c r="R140" s="190">
        <f>IF($C$13="Yes",0,IF(Q140&gt;D140,0,E140*(D140-Q140)/D140))</f>
        <v>0</v>
      </c>
      <c r="S140" s="79">
        <f t="shared" ref="S140" si="61">L140</f>
        <v>0</v>
      </c>
    </row>
    <row r="141" spans="1:19" ht="12.5" x14ac:dyDescent="0.25">
      <c r="A141" s="17"/>
      <c r="B141" s="134"/>
      <c r="C141" s="135"/>
      <c r="D141" s="136"/>
      <c r="E141" s="137"/>
      <c r="F141" s="137"/>
      <c r="G141" s="137"/>
      <c r="H141" s="38"/>
      <c r="I141" s="38"/>
      <c r="J141" s="38"/>
      <c r="K141" s="38"/>
      <c r="L141" s="38"/>
      <c r="M141" s="38"/>
      <c r="O141" s="38"/>
      <c r="P141" s="38"/>
      <c r="Q141" s="138"/>
      <c r="R141" s="38"/>
      <c r="S141" s="38"/>
    </row>
    <row r="142" spans="1:19" ht="23" x14ac:dyDescent="0.25">
      <c r="A142" s="19"/>
      <c r="B142" s="2"/>
      <c r="C142" s="37"/>
      <c r="D142" s="117"/>
      <c r="E142" s="117"/>
      <c r="F142" s="117"/>
      <c r="G142" s="117"/>
      <c r="H142" s="118" t="s">
        <v>12</v>
      </c>
      <c r="I142" s="119"/>
      <c r="J142" s="118" t="s">
        <v>11</v>
      </c>
      <c r="K142" s="118" t="s">
        <v>10</v>
      </c>
      <c r="L142" s="119"/>
      <c r="M142" s="40"/>
      <c r="N142" s="19">
        <f>N136+L142</f>
        <v>0</v>
      </c>
      <c r="O142" s="36"/>
      <c r="P142" s="36"/>
      <c r="Q142" s="37"/>
      <c r="R142" s="37"/>
      <c r="S142" s="37"/>
    </row>
    <row r="143" spans="1:19" ht="15.5" x14ac:dyDescent="0.25">
      <c r="A143" s="93" t="s">
        <v>8</v>
      </c>
      <c r="B143" s="111">
        <f>B137+1</f>
        <v>22</v>
      </c>
      <c r="C143" s="37"/>
      <c r="D143" s="117"/>
      <c r="E143" s="251"/>
      <c r="F143" s="251"/>
      <c r="G143" s="120"/>
      <c r="H143" s="121">
        <f>IF($C$13="Yes",0,IF(SUM($C$10+B143)&lt;=2020,"6%",VLOOKUP($C$6&amp;SUM($C$10+B143),Data!$C:$D,2,FALSE)))</f>
        <v>0</v>
      </c>
      <c r="I143" s="117"/>
      <c r="J143" s="121">
        <f>VLOOKUP(C144,Data!$F:$I,3,FALSE)</f>
        <v>3.8E-3</v>
      </c>
      <c r="K143" s="121">
        <f>VLOOKUP(C144,Data!$F:$I,4,FALSE)</f>
        <v>1.06E-2</v>
      </c>
      <c r="L143" s="117"/>
      <c r="M143" s="37"/>
      <c r="N143" s="19">
        <f>N137+L143</f>
        <v>0</v>
      </c>
      <c r="O143" s="121" t="s">
        <v>53</v>
      </c>
      <c r="P143" s="121" t="s">
        <v>54</v>
      </c>
      <c r="Q143" s="122"/>
      <c r="R143" s="37"/>
      <c r="S143" s="37"/>
    </row>
    <row r="144" spans="1:19" x14ac:dyDescent="0.25">
      <c r="A144" s="17"/>
      <c r="B144" s="70" t="s">
        <v>6</v>
      </c>
      <c r="C144" s="70">
        <f>C138+1</f>
        <v>2049</v>
      </c>
      <c r="D144" s="70" t="s">
        <v>5</v>
      </c>
      <c r="E144" s="70" t="s">
        <v>9</v>
      </c>
      <c r="F144" s="70" t="s">
        <v>7</v>
      </c>
      <c r="G144" s="70" t="s">
        <v>1</v>
      </c>
      <c r="H144" s="70" t="s">
        <v>0</v>
      </c>
      <c r="I144" s="70" t="s">
        <v>5</v>
      </c>
      <c r="J144" s="70" t="s">
        <v>3</v>
      </c>
      <c r="K144" s="70" t="s">
        <v>2</v>
      </c>
      <c r="L144" s="70" t="s">
        <v>4</v>
      </c>
      <c r="M144" s="70" t="s">
        <v>13</v>
      </c>
      <c r="N144" s="20"/>
      <c r="O144" s="70" t="s">
        <v>26</v>
      </c>
      <c r="P144" s="70" t="s">
        <v>26</v>
      </c>
      <c r="Q144" s="70" t="s">
        <v>27</v>
      </c>
      <c r="R144" s="70" t="s">
        <v>28</v>
      </c>
      <c r="S144" s="70" t="s">
        <v>29</v>
      </c>
    </row>
    <row r="145" spans="1:19" ht="12.5" x14ac:dyDescent="0.25">
      <c r="A145" s="17" t="str">
        <f>B145&amp;$B$143</f>
        <v>Cap Con on Completion Type 122</v>
      </c>
      <c r="B145" s="83" t="str">
        <f>B139</f>
        <v>Cap Con on Completion Type 1</v>
      </c>
      <c r="C145" s="113">
        <f>C139+1</f>
        <v>21.5</v>
      </c>
      <c r="D145" s="115">
        <f>D139</f>
        <v>40</v>
      </c>
      <c r="E145" s="81">
        <f>E139*SUM(VLOOKUP(SUM($C$10+B137),Data!$F:$G,2,FALSE))</f>
        <v>62612930.134189345</v>
      </c>
      <c r="F145" s="81">
        <f>E145</f>
        <v>62612930.134189345</v>
      </c>
      <c r="G145" s="81">
        <f>IF($C$13="Yes",0,IF(C145&gt;D145,0,E145*(D145-C145)/D145))</f>
        <v>0</v>
      </c>
      <c r="H145" s="82">
        <f>IF(C145&gt;D145,0,G145*H143)</f>
        <v>0</v>
      </c>
      <c r="I145" s="130">
        <f>IF($C$13="Yes",0,IF(C145&gt;D145,0,E145*1/D145))</f>
        <v>0</v>
      </c>
      <c r="J145" s="82">
        <f>E145*J143</f>
        <v>237929.1345099195</v>
      </c>
      <c r="K145" s="82">
        <f>E145*K143</f>
        <v>663697.05942240707</v>
      </c>
      <c r="L145" s="82">
        <f t="shared" ref="L145:L146" si="62">SUM(H145:K145)</f>
        <v>901626.19393232651</v>
      </c>
      <c r="M145" s="82">
        <f>L145+L146</f>
        <v>901626.19393232651</v>
      </c>
      <c r="N145" s="19">
        <f>N139+L145</f>
        <v>11084833.152706277</v>
      </c>
      <c r="O145" s="82">
        <f>SUM(R145:S146)</f>
        <v>901626.19393232651</v>
      </c>
      <c r="P145" s="82">
        <f>SUM(S145:S146)/2+SUM(R145:R146)</f>
        <v>450813.09696616326</v>
      </c>
      <c r="Q145" s="123">
        <f>C145+0.5</f>
        <v>22</v>
      </c>
      <c r="R145" s="189">
        <f>IF($C$13="Yes",0,IF(Q145&gt;D145,0,E145*(D145-Q145)/D145))</f>
        <v>0</v>
      </c>
      <c r="S145" s="82">
        <f>L145</f>
        <v>901626.19393232651</v>
      </c>
    </row>
    <row r="146" spans="1:19" ht="12.5" x14ac:dyDescent="0.25">
      <c r="A146" s="17" t="str">
        <f>B146&amp;$B$143</f>
        <v>Cap Con on Completion Type 122</v>
      </c>
      <c r="B146" s="84" t="str">
        <f>B140</f>
        <v>Cap Con on Completion Type 1</v>
      </c>
      <c r="C146" s="114">
        <f>C140+1</f>
        <v>21.5</v>
      </c>
      <c r="D146" s="116">
        <f>D140</f>
        <v>0</v>
      </c>
      <c r="E146" s="78">
        <f>E140*SUM(VLOOKUP(SUM($C$10+B137),Data!$F:$G,2,FALSE))</f>
        <v>0</v>
      </c>
      <c r="F146" s="78">
        <f t="shared" ref="F146" si="63">E146</f>
        <v>0</v>
      </c>
      <c r="G146" s="78">
        <f>IF($C$13="Yes",0,IF(C146&gt;D146,0,E146*(D146-C146)/D146))</f>
        <v>0</v>
      </c>
      <c r="H146" s="79">
        <f>IF(C146&gt;D146,0,G146*H143)</f>
        <v>0</v>
      </c>
      <c r="I146" s="131">
        <f>IF($C$13="Yes",0,IF(C146&gt;D146,0,E146*1/D146))</f>
        <v>0</v>
      </c>
      <c r="J146" s="79">
        <f>E146*J143</f>
        <v>0</v>
      </c>
      <c r="K146" s="79">
        <f>E146*K143</f>
        <v>0</v>
      </c>
      <c r="L146" s="79">
        <f t="shared" si="62"/>
        <v>0</v>
      </c>
      <c r="M146" s="79"/>
      <c r="N146" s="19">
        <f>N140+L146</f>
        <v>0</v>
      </c>
      <c r="O146" s="79"/>
      <c r="P146" s="79"/>
      <c r="Q146" s="124">
        <f>C146+0.5</f>
        <v>22</v>
      </c>
      <c r="R146" s="190">
        <f>IF($C$13="Yes",0,IF(Q146&gt;D146,0,E146*(D146-Q146)/D146))</f>
        <v>0</v>
      </c>
      <c r="S146" s="79">
        <f t="shared" ref="S146" si="64">L146</f>
        <v>0</v>
      </c>
    </row>
    <row r="147" spans="1:19" ht="12.5" x14ac:dyDescent="0.25">
      <c r="A147" s="17"/>
      <c r="B147" s="134"/>
      <c r="C147" s="135"/>
      <c r="D147" s="136"/>
      <c r="E147" s="137"/>
      <c r="F147" s="137"/>
      <c r="G147" s="137"/>
      <c r="H147" s="38"/>
      <c r="I147" s="38"/>
      <c r="J147" s="38"/>
      <c r="K147" s="38"/>
      <c r="L147" s="38"/>
      <c r="M147" s="38"/>
      <c r="O147" s="38"/>
      <c r="P147" s="38"/>
      <c r="Q147" s="138"/>
      <c r="R147" s="38"/>
      <c r="S147" s="38"/>
    </row>
    <row r="148" spans="1:19" ht="23" x14ac:dyDescent="0.25">
      <c r="A148" s="19"/>
      <c r="B148" s="2"/>
      <c r="C148" s="37"/>
      <c r="D148" s="117"/>
      <c r="E148" s="117"/>
      <c r="F148" s="117"/>
      <c r="G148" s="117"/>
      <c r="H148" s="118" t="s">
        <v>12</v>
      </c>
      <c r="I148" s="119"/>
      <c r="J148" s="118" t="s">
        <v>11</v>
      </c>
      <c r="K148" s="118" t="s">
        <v>10</v>
      </c>
      <c r="L148" s="119"/>
      <c r="M148" s="40"/>
      <c r="N148" s="19">
        <f>N142+L148</f>
        <v>0</v>
      </c>
      <c r="O148" s="36"/>
      <c r="P148" s="36"/>
      <c r="Q148" s="37"/>
      <c r="R148" s="37"/>
      <c r="S148" s="37"/>
    </row>
    <row r="149" spans="1:19" ht="15.5" x14ac:dyDescent="0.25">
      <c r="A149" s="93" t="s">
        <v>8</v>
      </c>
      <c r="B149" s="111">
        <f>B143+1</f>
        <v>23</v>
      </c>
      <c r="C149" s="37"/>
      <c r="D149" s="117"/>
      <c r="E149" s="251"/>
      <c r="F149" s="251"/>
      <c r="G149" s="120"/>
      <c r="H149" s="121">
        <f>IF($C$13="Yes",0,IF(SUM($C$10+B149)&lt;=2020,"6%",VLOOKUP($C$6&amp;SUM($C$10+B149),Data!$C:$D,2,FALSE)))</f>
        <v>0</v>
      </c>
      <c r="I149" s="117"/>
      <c r="J149" s="121">
        <f>VLOOKUP(C150,Data!$F:$I,3,FALSE)</f>
        <v>3.8E-3</v>
      </c>
      <c r="K149" s="121">
        <f>VLOOKUP(C150,Data!$F:$I,4,FALSE)</f>
        <v>1.06E-2</v>
      </c>
      <c r="L149" s="117"/>
      <c r="M149" s="37"/>
      <c r="N149" s="19">
        <f>N143+L149</f>
        <v>0</v>
      </c>
      <c r="O149" s="121" t="s">
        <v>53</v>
      </c>
      <c r="P149" s="121" t="s">
        <v>54</v>
      </c>
      <c r="Q149" s="122"/>
      <c r="R149" s="37"/>
      <c r="S149" s="37"/>
    </row>
    <row r="150" spans="1:19" x14ac:dyDescent="0.25">
      <c r="A150" s="17"/>
      <c r="B150" s="70" t="s">
        <v>6</v>
      </c>
      <c r="C150" s="70">
        <f>C144+1</f>
        <v>2050</v>
      </c>
      <c r="D150" s="70" t="s">
        <v>5</v>
      </c>
      <c r="E150" s="70" t="s">
        <v>9</v>
      </c>
      <c r="F150" s="70" t="s">
        <v>7</v>
      </c>
      <c r="G150" s="70" t="s">
        <v>1</v>
      </c>
      <c r="H150" s="70" t="s">
        <v>0</v>
      </c>
      <c r="I150" s="70" t="s">
        <v>5</v>
      </c>
      <c r="J150" s="70" t="s">
        <v>3</v>
      </c>
      <c r="K150" s="70" t="s">
        <v>2</v>
      </c>
      <c r="L150" s="70" t="s">
        <v>4</v>
      </c>
      <c r="M150" s="70" t="s">
        <v>13</v>
      </c>
      <c r="N150" s="20"/>
      <c r="O150" s="70" t="s">
        <v>26</v>
      </c>
      <c r="P150" s="70" t="s">
        <v>26</v>
      </c>
      <c r="Q150" s="70" t="s">
        <v>27</v>
      </c>
      <c r="R150" s="70" t="s">
        <v>28</v>
      </c>
      <c r="S150" s="70" t="s">
        <v>29</v>
      </c>
    </row>
    <row r="151" spans="1:19" ht="12.5" x14ac:dyDescent="0.25">
      <c r="A151" s="17" t="str">
        <f>B151&amp;$B$149</f>
        <v>Cap Con on Completion Type 123</v>
      </c>
      <c r="B151" s="83" t="str">
        <f>B145</f>
        <v>Cap Con on Completion Type 1</v>
      </c>
      <c r="C151" s="113">
        <f>C145+1</f>
        <v>22.5</v>
      </c>
      <c r="D151" s="115">
        <f>D145</f>
        <v>40</v>
      </c>
      <c r="E151" s="81">
        <f>E145*SUM(VLOOKUP(SUM($C$10+B143),Data!$F:$G,2,FALSE))</f>
        <v>66676509.29989823</v>
      </c>
      <c r="F151" s="81">
        <f>E151</f>
        <v>66676509.29989823</v>
      </c>
      <c r="G151" s="81">
        <f>IF($C$13="Yes",0,IF(C151&gt;D151,0,E151*(D151-C151)/D151))</f>
        <v>0</v>
      </c>
      <c r="H151" s="82">
        <f>IF(C151&gt;D151,0,G151*H149)</f>
        <v>0</v>
      </c>
      <c r="I151" s="130">
        <f>IF($C$13="Yes",0,IF(C151&gt;D151,0,E151*1/D151))</f>
        <v>0</v>
      </c>
      <c r="J151" s="82">
        <f>E151*J149</f>
        <v>253370.73533961328</v>
      </c>
      <c r="K151" s="82">
        <f>E151*K149</f>
        <v>706770.99857892119</v>
      </c>
      <c r="L151" s="82">
        <f t="shared" ref="L151:L152" si="65">SUM(H151:K151)</f>
        <v>960141.73391853448</v>
      </c>
      <c r="M151" s="82">
        <f>L151+L152</f>
        <v>960141.73391853448</v>
      </c>
      <c r="N151" s="19">
        <f>N145+L151</f>
        <v>12044974.886624811</v>
      </c>
      <c r="O151" s="82">
        <f>SUM(R151:S152)</f>
        <v>960141.73391853448</v>
      </c>
      <c r="P151" s="82">
        <f>SUM(S151:S152)/2+SUM(R151:R152)</f>
        <v>480070.86695926724</v>
      </c>
      <c r="Q151" s="123">
        <f>C151+0.5</f>
        <v>23</v>
      </c>
      <c r="R151" s="189">
        <f>IF($C$13="Yes",0,IF(Q151&gt;D151,0,E151*(D151-Q151)/D151))</f>
        <v>0</v>
      </c>
      <c r="S151" s="82">
        <f>L151</f>
        <v>960141.73391853448</v>
      </c>
    </row>
    <row r="152" spans="1:19" ht="12.5" x14ac:dyDescent="0.25">
      <c r="A152" s="17" t="str">
        <f>B152&amp;$B$149</f>
        <v>Cap Con on Completion Type 123</v>
      </c>
      <c r="B152" s="84" t="str">
        <f>B146</f>
        <v>Cap Con on Completion Type 1</v>
      </c>
      <c r="C152" s="114">
        <f>C146+1</f>
        <v>22.5</v>
      </c>
      <c r="D152" s="116">
        <f>D146</f>
        <v>0</v>
      </c>
      <c r="E152" s="78">
        <f>E146*SUM(VLOOKUP(SUM($C$10+B143),Data!$F:$G,2,FALSE))</f>
        <v>0</v>
      </c>
      <c r="F152" s="78">
        <f t="shared" ref="F152" si="66">E152</f>
        <v>0</v>
      </c>
      <c r="G152" s="78">
        <f>IF($C$13="Yes",0,IF(C152&gt;D152,0,E152*(D152-C152)/D152))</f>
        <v>0</v>
      </c>
      <c r="H152" s="79">
        <f>IF(C152&gt;D152,0,G152*H149)</f>
        <v>0</v>
      </c>
      <c r="I152" s="131">
        <f>IF($C$13="Yes",0,IF(C152&gt;D152,0,E152*1/D152))</f>
        <v>0</v>
      </c>
      <c r="J152" s="79">
        <f>E152*J149</f>
        <v>0</v>
      </c>
      <c r="K152" s="79">
        <f>E152*K149</f>
        <v>0</v>
      </c>
      <c r="L152" s="79">
        <f t="shared" si="65"/>
        <v>0</v>
      </c>
      <c r="M152" s="79"/>
      <c r="N152" s="19">
        <f>N146+L152</f>
        <v>0</v>
      </c>
      <c r="O152" s="79"/>
      <c r="P152" s="79"/>
      <c r="Q152" s="124">
        <f>C152+0.5</f>
        <v>23</v>
      </c>
      <c r="R152" s="190">
        <f>IF($C$13="Yes",0,IF(Q152&gt;D152,0,E152*(D152-Q152)/D152))</f>
        <v>0</v>
      </c>
      <c r="S152" s="79">
        <f t="shared" ref="S152" si="67">L152</f>
        <v>0</v>
      </c>
    </row>
    <row r="153" spans="1:19" ht="12.5" x14ac:dyDescent="0.25">
      <c r="A153" s="17"/>
      <c r="B153" s="134"/>
      <c r="C153" s="135"/>
      <c r="D153" s="136"/>
      <c r="E153" s="137"/>
      <c r="F153" s="137"/>
      <c r="G153" s="137"/>
      <c r="H153" s="38"/>
      <c r="I153" s="38"/>
      <c r="J153" s="38"/>
      <c r="K153" s="38"/>
      <c r="L153" s="38"/>
      <c r="M153" s="38"/>
      <c r="O153" s="38"/>
      <c r="P153" s="38"/>
      <c r="Q153" s="138"/>
      <c r="R153" s="38"/>
      <c r="S153" s="38"/>
    </row>
    <row r="154" spans="1:19" ht="23" x14ac:dyDescent="0.25">
      <c r="A154" s="19"/>
      <c r="B154" s="2"/>
      <c r="C154" s="37"/>
      <c r="D154" s="117"/>
      <c r="E154" s="117"/>
      <c r="F154" s="117"/>
      <c r="G154" s="117"/>
      <c r="H154" s="118" t="s">
        <v>12</v>
      </c>
      <c r="I154" s="119"/>
      <c r="J154" s="118" t="s">
        <v>11</v>
      </c>
      <c r="K154" s="118" t="s">
        <v>10</v>
      </c>
      <c r="L154" s="119"/>
      <c r="M154" s="40"/>
      <c r="N154" s="19">
        <f>N148+L154</f>
        <v>0</v>
      </c>
      <c r="O154" s="36"/>
      <c r="P154" s="36"/>
      <c r="Q154" s="37"/>
      <c r="R154" s="37"/>
      <c r="S154" s="37"/>
    </row>
    <row r="155" spans="1:19" ht="15.5" x14ac:dyDescent="0.25">
      <c r="A155" s="93" t="s">
        <v>8</v>
      </c>
      <c r="B155" s="111">
        <f>B149+1</f>
        <v>24</v>
      </c>
      <c r="C155" s="37"/>
      <c r="D155" s="117"/>
      <c r="E155" s="251"/>
      <c r="F155" s="251"/>
      <c r="G155" s="120"/>
      <c r="H155" s="121">
        <f>IF($C$13="Yes",0,IF(SUM($C$10+B155)&lt;=2020,"6%",VLOOKUP($C$6&amp;SUM($C$10+B155),Data!$C:$D,2,FALSE)))</f>
        <v>0</v>
      </c>
      <c r="I155" s="117"/>
      <c r="J155" s="121">
        <f>VLOOKUP(C156,Data!$F:$I,3,FALSE)</f>
        <v>3.8E-3</v>
      </c>
      <c r="K155" s="121">
        <f>VLOOKUP(C156,Data!$F:$I,4,FALSE)</f>
        <v>1.06E-2</v>
      </c>
      <c r="L155" s="117"/>
      <c r="M155" s="37"/>
      <c r="N155" s="19">
        <f>N149+L155</f>
        <v>0</v>
      </c>
      <c r="O155" s="121" t="s">
        <v>53</v>
      </c>
      <c r="P155" s="121" t="s">
        <v>54</v>
      </c>
      <c r="Q155" s="122"/>
      <c r="R155" s="37"/>
      <c r="S155" s="37"/>
    </row>
    <row r="156" spans="1:19" x14ac:dyDescent="0.25">
      <c r="A156" s="17"/>
      <c r="B156" s="70" t="s">
        <v>6</v>
      </c>
      <c r="C156" s="70">
        <f>C150+1</f>
        <v>2051</v>
      </c>
      <c r="D156" s="70" t="s">
        <v>5</v>
      </c>
      <c r="E156" s="70" t="s">
        <v>9</v>
      </c>
      <c r="F156" s="70" t="s">
        <v>7</v>
      </c>
      <c r="G156" s="70" t="s">
        <v>1</v>
      </c>
      <c r="H156" s="70" t="s">
        <v>0</v>
      </c>
      <c r="I156" s="70" t="s">
        <v>5</v>
      </c>
      <c r="J156" s="70" t="s">
        <v>3</v>
      </c>
      <c r="K156" s="70" t="s">
        <v>2</v>
      </c>
      <c r="L156" s="70" t="s">
        <v>4</v>
      </c>
      <c r="M156" s="70" t="s">
        <v>13</v>
      </c>
      <c r="N156" s="20"/>
      <c r="O156" s="70" t="s">
        <v>26</v>
      </c>
      <c r="P156" s="70" t="s">
        <v>26</v>
      </c>
      <c r="Q156" s="70" t="s">
        <v>27</v>
      </c>
      <c r="R156" s="70" t="s">
        <v>28</v>
      </c>
      <c r="S156" s="70" t="s">
        <v>29</v>
      </c>
    </row>
    <row r="157" spans="1:19" ht="12.5" x14ac:dyDescent="0.25">
      <c r="A157" s="17" t="str">
        <f>B157&amp;$B$155</f>
        <v>Cap Con on Completion Type 124</v>
      </c>
      <c r="B157" s="83" t="str">
        <f>B151</f>
        <v>Cap Con on Completion Type 1</v>
      </c>
      <c r="C157" s="113">
        <f>C151+1</f>
        <v>23.5</v>
      </c>
      <c r="D157" s="115">
        <f>D151</f>
        <v>40</v>
      </c>
      <c r="E157" s="81">
        <f>E151*SUM(VLOOKUP(SUM($C$10+B149),Data!$F:$G,2,FALSE))</f>
        <v>71003814.753461629</v>
      </c>
      <c r="F157" s="81">
        <f>E157</f>
        <v>71003814.753461629</v>
      </c>
      <c r="G157" s="81">
        <f>IF($C$13="Yes",0,IF(C157&gt;D157,0,E157*(D157-C157)/D157))</f>
        <v>0</v>
      </c>
      <c r="H157" s="82">
        <f>IF(C157&gt;D157,0,G157*H155)</f>
        <v>0</v>
      </c>
      <c r="I157" s="130">
        <f>IF($C$13="Yes",0,IF(C157&gt;D157,0,E157*1/D157))</f>
        <v>0</v>
      </c>
      <c r="J157" s="82">
        <f>E157*J155</f>
        <v>269814.49606315419</v>
      </c>
      <c r="K157" s="82">
        <f>E157*K155</f>
        <v>752640.43638669327</v>
      </c>
      <c r="L157" s="82">
        <f t="shared" ref="L157:L158" si="68">SUM(H157:K157)</f>
        <v>1022454.9324498475</v>
      </c>
      <c r="M157" s="82">
        <f>L157+L158</f>
        <v>1022454.9324498475</v>
      </c>
      <c r="N157" s="19">
        <f>N151+L157</f>
        <v>13067429.819074659</v>
      </c>
      <c r="O157" s="82">
        <f>SUM(R157:S158)</f>
        <v>1022454.9324498475</v>
      </c>
      <c r="P157" s="82">
        <f>SUM(S157:S158)/2+SUM(R157:R158)</f>
        <v>511227.46622492373</v>
      </c>
      <c r="Q157" s="123">
        <f>C157+0.5</f>
        <v>24</v>
      </c>
      <c r="R157" s="189">
        <f>IF($C$13="Yes",0,IF(Q157&gt;D157,0,E157*(D157-Q157)/D157))</f>
        <v>0</v>
      </c>
      <c r="S157" s="82">
        <f>L157</f>
        <v>1022454.9324498475</v>
      </c>
    </row>
    <row r="158" spans="1:19" ht="12.5" x14ac:dyDescent="0.25">
      <c r="A158" s="17" t="str">
        <f>B158&amp;$B$155</f>
        <v>Cap Con on Completion Type 124</v>
      </c>
      <c r="B158" s="84" t="str">
        <f>B152</f>
        <v>Cap Con on Completion Type 1</v>
      </c>
      <c r="C158" s="114">
        <f>C152+1</f>
        <v>23.5</v>
      </c>
      <c r="D158" s="116">
        <f>D152</f>
        <v>0</v>
      </c>
      <c r="E158" s="78">
        <f>E152*SUM(VLOOKUP(SUM($C$10+B149),Data!$F:$G,2,FALSE))</f>
        <v>0</v>
      </c>
      <c r="F158" s="78">
        <f t="shared" ref="F158" si="69">E158</f>
        <v>0</v>
      </c>
      <c r="G158" s="78">
        <f>IF($C$13="Yes",0,IF(C158&gt;D158,0,E158*(D158-C158)/D158))</f>
        <v>0</v>
      </c>
      <c r="H158" s="79">
        <f>IF(C158&gt;D158,0,G158*H155)</f>
        <v>0</v>
      </c>
      <c r="I158" s="131">
        <f>IF($C$13="Yes",0,IF(C158&gt;D158,0,E158*1/D158))</f>
        <v>0</v>
      </c>
      <c r="J158" s="79">
        <f>E158*J155</f>
        <v>0</v>
      </c>
      <c r="K158" s="79">
        <f>E158*K155</f>
        <v>0</v>
      </c>
      <c r="L158" s="79">
        <f t="shared" si="68"/>
        <v>0</v>
      </c>
      <c r="M158" s="79"/>
      <c r="N158" s="19">
        <f>N152+L158</f>
        <v>0</v>
      </c>
      <c r="O158" s="79"/>
      <c r="P158" s="79"/>
      <c r="Q158" s="124">
        <f>C158+0.5</f>
        <v>24</v>
      </c>
      <c r="R158" s="190">
        <f>IF($C$13="Yes",0,IF(Q158&gt;D158,0,E158*(D158-Q158)/D158))</f>
        <v>0</v>
      </c>
      <c r="S158" s="79">
        <f t="shared" ref="S158" si="70">L158</f>
        <v>0</v>
      </c>
    </row>
    <row r="159" spans="1:19" ht="12.5" x14ac:dyDescent="0.25">
      <c r="A159" s="17"/>
      <c r="B159" s="134"/>
      <c r="C159" s="135"/>
      <c r="D159" s="136"/>
      <c r="E159" s="137"/>
      <c r="F159" s="137"/>
      <c r="G159" s="137"/>
      <c r="H159" s="38"/>
      <c r="I159" s="38"/>
      <c r="J159" s="38"/>
      <c r="K159" s="38"/>
      <c r="L159" s="38"/>
      <c r="M159" s="38"/>
      <c r="O159" s="38"/>
      <c r="P159" s="38"/>
      <c r="Q159" s="138"/>
      <c r="R159" s="38"/>
      <c r="S159" s="38"/>
    </row>
    <row r="160" spans="1:19" ht="23" x14ac:dyDescent="0.25">
      <c r="A160" s="19"/>
      <c r="B160" s="2"/>
      <c r="C160" s="37"/>
      <c r="D160" s="117"/>
      <c r="E160" s="117"/>
      <c r="F160" s="117"/>
      <c r="G160" s="117"/>
      <c r="H160" s="118" t="s">
        <v>12</v>
      </c>
      <c r="I160" s="119"/>
      <c r="J160" s="118" t="s">
        <v>11</v>
      </c>
      <c r="K160" s="118" t="s">
        <v>10</v>
      </c>
      <c r="L160" s="119"/>
      <c r="M160" s="40"/>
      <c r="N160" s="19">
        <f>N154+L160</f>
        <v>0</v>
      </c>
      <c r="O160" s="36"/>
      <c r="P160" s="36"/>
      <c r="Q160" s="37"/>
      <c r="R160" s="37"/>
      <c r="S160" s="37"/>
    </row>
    <row r="161" spans="1:19" ht="15.5" x14ac:dyDescent="0.25">
      <c r="A161" s="93" t="s">
        <v>8</v>
      </c>
      <c r="B161" s="111">
        <f>B155+1</f>
        <v>25</v>
      </c>
      <c r="C161" s="37"/>
      <c r="D161" s="117"/>
      <c r="E161" s="251"/>
      <c r="F161" s="251"/>
      <c r="G161" s="120"/>
      <c r="H161" s="121">
        <f>IF($C$13="Yes",0,IF(SUM($C$10+B161)&lt;=2020,"6%",VLOOKUP($C$6&amp;SUM($C$10+B161),Data!$C:$D,2,FALSE)))</f>
        <v>0</v>
      </c>
      <c r="I161" s="117"/>
      <c r="J161" s="121">
        <f>VLOOKUP(C162,Data!$F:$I,3,FALSE)</f>
        <v>3.8E-3</v>
      </c>
      <c r="K161" s="121">
        <f>VLOOKUP(C162,Data!$F:$I,4,FALSE)</f>
        <v>1.06E-2</v>
      </c>
      <c r="L161" s="117"/>
      <c r="M161" s="37"/>
      <c r="N161" s="19">
        <f>N155+L161</f>
        <v>0</v>
      </c>
      <c r="O161" s="121" t="s">
        <v>53</v>
      </c>
      <c r="P161" s="121" t="s">
        <v>54</v>
      </c>
      <c r="Q161" s="122"/>
      <c r="R161" s="37"/>
      <c r="S161" s="37"/>
    </row>
    <row r="162" spans="1:19" x14ac:dyDescent="0.25">
      <c r="A162" s="17"/>
      <c r="B162" s="70" t="s">
        <v>6</v>
      </c>
      <c r="C162" s="70">
        <f>C156+1</f>
        <v>2052</v>
      </c>
      <c r="D162" s="70" t="s">
        <v>5</v>
      </c>
      <c r="E162" s="70" t="s">
        <v>9</v>
      </c>
      <c r="F162" s="70" t="s">
        <v>7</v>
      </c>
      <c r="G162" s="70" t="s">
        <v>1</v>
      </c>
      <c r="H162" s="70" t="s">
        <v>0</v>
      </c>
      <c r="I162" s="70" t="s">
        <v>5</v>
      </c>
      <c r="J162" s="70" t="s">
        <v>3</v>
      </c>
      <c r="K162" s="70" t="s">
        <v>2</v>
      </c>
      <c r="L162" s="70" t="s">
        <v>4</v>
      </c>
      <c r="M162" s="70" t="s">
        <v>13</v>
      </c>
      <c r="N162" s="20"/>
      <c r="O162" s="70" t="s">
        <v>26</v>
      </c>
      <c r="P162" s="70" t="s">
        <v>26</v>
      </c>
      <c r="Q162" s="70" t="s">
        <v>27</v>
      </c>
      <c r="R162" s="70" t="s">
        <v>28</v>
      </c>
      <c r="S162" s="70" t="s">
        <v>29</v>
      </c>
    </row>
    <row r="163" spans="1:19" ht="12.5" x14ac:dyDescent="0.25">
      <c r="A163" s="17" t="str">
        <f>B163&amp;$B$161</f>
        <v>Cap Con on Completion Type 125</v>
      </c>
      <c r="B163" s="83" t="str">
        <f>B157</f>
        <v>Cap Con on Completion Type 1</v>
      </c>
      <c r="C163" s="113">
        <f>C157+1</f>
        <v>24.5</v>
      </c>
      <c r="D163" s="115">
        <f>D157</f>
        <v>40</v>
      </c>
      <c r="E163" s="81">
        <f>E157*SUM(VLOOKUP(SUM($C$10+B155),Data!$F:$G,2,FALSE))</f>
        <v>75611962.330961287</v>
      </c>
      <c r="F163" s="81">
        <f>E163</f>
        <v>75611962.330961287</v>
      </c>
      <c r="G163" s="81">
        <f>IF($C$13="Yes",0,IF(C163&gt;D163,0,E163*(D163-C163)/D163))</f>
        <v>0</v>
      </c>
      <c r="H163" s="82">
        <f>IF(C163&gt;D163,0,G163*H161)</f>
        <v>0</v>
      </c>
      <c r="I163" s="130">
        <f>IF($C$13="Yes",0,IF(C163&gt;D163,0,E163*1/D163))</f>
        <v>0</v>
      </c>
      <c r="J163" s="82">
        <f>E163*J161</f>
        <v>287325.45685765287</v>
      </c>
      <c r="K163" s="82">
        <f>E163*K161</f>
        <v>801486.80070818961</v>
      </c>
      <c r="L163" s="82">
        <f t="shared" ref="L163:L164" si="71">SUM(H163:K163)</f>
        <v>1088812.2575658425</v>
      </c>
      <c r="M163" s="82">
        <f>L163+L164</f>
        <v>1088812.2575658425</v>
      </c>
      <c r="N163" s="19">
        <f>N157+L163</f>
        <v>14156242.076640502</v>
      </c>
      <c r="O163" s="82">
        <f>SUM(R163:S164)</f>
        <v>1088812.2575658425</v>
      </c>
      <c r="P163" s="82">
        <f>SUM(S163:S164)/2+SUM(R163:R164)</f>
        <v>544406.12878292124</v>
      </c>
      <c r="Q163" s="123">
        <f>C163+0.5</f>
        <v>25</v>
      </c>
      <c r="R163" s="189">
        <f>IF($C$13="Yes",0,IF(Q163&gt;D163,0,E163*(D163-Q163)/D163))</f>
        <v>0</v>
      </c>
      <c r="S163" s="82">
        <f>L163</f>
        <v>1088812.2575658425</v>
      </c>
    </row>
    <row r="164" spans="1:19" ht="12.5" x14ac:dyDescent="0.25">
      <c r="A164" s="17" t="str">
        <f>B164&amp;$B$161</f>
        <v>Cap Con on Completion Type 125</v>
      </c>
      <c r="B164" s="84" t="str">
        <f>B158</f>
        <v>Cap Con on Completion Type 1</v>
      </c>
      <c r="C164" s="114">
        <f>C158+1</f>
        <v>24.5</v>
      </c>
      <c r="D164" s="116">
        <f>D158</f>
        <v>0</v>
      </c>
      <c r="E164" s="78">
        <f>E158*SUM(VLOOKUP(SUM($C$10+B155),Data!$F:$G,2,FALSE))</f>
        <v>0</v>
      </c>
      <c r="F164" s="78">
        <f t="shared" ref="F164" si="72">E164</f>
        <v>0</v>
      </c>
      <c r="G164" s="78">
        <f>IF($C$13="Yes",0,IF(C164&gt;D164,0,E164*(D164-C164)/D164))</f>
        <v>0</v>
      </c>
      <c r="H164" s="79">
        <f>IF(C164&gt;D164,0,G164*H161)</f>
        <v>0</v>
      </c>
      <c r="I164" s="131">
        <f>IF($C$13="Yes",0,IF(C164&gt;D164,0,E164*1/D164))</f>
        <v>0</v>
      </c>
      <c r="J164" s="79">
        <f>E164*J161</f>
        <v>0</v>
      </c>
      <c r="K164" s="79">
        <f>E164*K161</f>
        <v>0</v>
      </c>
      <c r="L164" s="79">
        <f t="shared" si="71"/>
        <v>0</v>
      </c>
      <c r="M164" s="79"/>
      <c r="N164" s="19">
        <f>N158+L164</f>
        <v>0</v>
      </c>
      <c r="O164" s="79"/>
      <c r="P164" s="79"/>
      <c r="Q164" s="124">
        <f>C164+0.5</f>
        <v>25</v>
      </c>
      <c r="R164" s="190">
        <f>IF($C$13="Yes",0,IF(Q164&gt;D164,0,E164*(D164-Q164)/D164))</f>
        <v>0</v>
      </c>
      <c r="S164" s="79">
        <f t="shared" ref="S164" si="73">L164</f>
        <v>0</v>
      </c>
    </row>
    <row r="165" spans="1:19" ht="12.5" x14ac:dyDescent="0.25">
      <c r="A165" s="17"/>
      <c r="B165" s="134"/>
      <c r="C165" s="135"/>
      <c r="D165" s="136"/>
      <c r="E165" s="137"/>
      <c r="F165" s="137"/>
      <c r="G165" s="137"/>
      <c r="H165" s="38"/>
      <c r="I165" s="38"/>
      <c r="J165" s="38"/>
      <c r="K165" s="38"/>
      <c r="L165" s="38"/>
      <c r="M165" s="38"/>
      <c r="O165" s="38"/>
      <c r="P165" s="38"/>
      <c r="Q165" s="138"/>
      <c r="R165" s="38"/>
      <c r="S165" s="38"/>
    </row>
    <row r="166" spans="1:19" ht="23" x14ac:dyDescent="0.25">
      <c r="A166" s="19"/>
      <c r="B166" s="2"/>
      <c r="C166" s="37"/>
      <c r="D166" s="117"/>
      <c r="E166" s="117"/>
      <c r="F166" s="117"/>
      <c r="G166" s="117"/>
      <c r="H166" s="118" t="s">
        <v>12</v>
      </c>
      <c r="I166" s="119"/>
      <c r="J166" s="118" t="s">
        <v>11</v>
      </c>
      <c r="K166" s="118" t="s">
        <v>10</v>
      </c>
      <c r="L166" s="119"/>
      <c r="M166" s="40"/>
      <c r="N166" s="19">
        <f>N160+L166</f>
        <v>0</v>
      </c>
      <c r="O166" s="36"/>
      <c r="P166" s="36"/>
      <c r="Q166" s="37"/>
      <c r="R166" s="37"/>
      <c r="S166" s="37"/>
    </row>
    <row r="167" spans="1:19" ht="15.5" x14ac:dyDescent="0.25">
      <c r="A167" s="93" t="s">
        <v>8</v>
      </c>
      <c r="B167" s="111">
        <f>B161+1</f>
        <v>26</v>
      </c>
      <c r="C167" s="37"/>
      <c r="D167" s="117"/>
      <c r="E167" s="251"/>
      <c r="F167" s="251"/>
      <c r="G167" s="120"/>
      <c r="H167" s="121">
        <f>IF($C$13="Yes",0,IF(SUM($C$10+B167)&lt;=2020,"6%",VLOOKUP($C$6&amp;SUM($C$10+B167),Data!$C:$D,2,FALSE)))</f>
        <v>0</v>
      </c>
      <c r="I167" s="117"/>
      <c r="J167" s="121">
        <f>VLOOKUP(C168,Data!$F:$I,3,FALSE)</f>
        <v>3.8E-3</v>
      </c>
      <c r="K167" s="121">
        <f>VLOOKUP(C168,Data!$F:$I,4,FALSE)</f>
        <v>1.06E-2</v>
      </c>
      <c r="L167" s="117"/>
      <c r="M167" s="37"/>
      <c r="N167" s="19">
        <f>N161+L167</f>
        <v>0</v>
      </c>
      <c r="O167" s="121" t="s">
        <v>53</v>
      </c>
      <c r="P167" s="121" t="s">
        <v>54</v>
      </c>
      <c r="Q167" s="122"/>
      <c r="R167" s="37"/>
      <c r="S167" s="37"/>
    </row>
    <row r="168" spans="1:19" x14ac:dyDescent="0.25">
      <c r="A168" s="17"/>
      <c r="B168" s="70" t="s">
        <v>6</v>
      </c>
      <c r="C168" s="70">
        <f>C162+1</f>
        <v>2053</v>
      </c>
      <c r="D168" s="70" t="s">
        <v>5</v>
      </c>
      <c r="E168" s="70" t="s">
        <v>9</v>
      </c>
      <c r="F168" s="70" t="s">
        <v>7</v>
      </c>
      <c r="G168" s="70" t="s">
        <v>1</v>
      </c>
      <c r="H168" s="70" t="s">
        <v>0</v>
      </c>
      <c r="I168" s="70" t="s">
        <v>5</v>
      </c>
      <c r="J168" s="70" t="s">
        <v>3</v>
      </c>
      <c r="K168" s="70" t="s">
        <v>2</v>
      </c>
      <c r="L168" s="70" t="s">
        <v>4</v>
      </c>
      <c r="M168" s="70" t="s">
        <v>13</v>
      </c>
      <c r="N168" s="20"/>
      <c r="O168" s="70" t="s">
        <v>26</v>
      </c>
      <c r="P168" s="70" t="s">
        <v>26</v>
      </c>
      <c r="Q168" s="70" t="s">
        <v>27</v>
      </c>
      <c r="R168" s="70" t="s">
        <v>28</v>
      </c>
      <c r="S168" s="70" t="s">
        <v>29</v>
      </c>
    </row>
    <row r="169" spans="1:19" ht="12.5" x14ac:dyDescent="0.25">
      <c r="A169" s="17" t="str">
        <f>B169&amp;$B$167</f>
        <v>Cap Con on Completion Type 126</v>
      </c>
      <c r="B169" s="83" t="str">
        <f>B163</f>
        <v>Cap Con on Completion Type 1</v>
      </c>
      <c r="C169" s="113">
        <f>C163+1</f>
        <v>25.5</v>
      </c>
      <c r="D169" s="115">
        <f>D163</f>
        <v>40</v>
      </c>
      <c r="E169" s="81">
        <f>E163*SUM(VLOOKUP(SUM($C$10+B161),Data!$F:$G,2,FALSE))</f>
        <v>80519178.686240673</v>
      </c>
      <c r="F169" s="81">
        <f>E169</f>
        <v>80519178.686240673</v>
      </c>
      <c r="G169" s="81">
        <f>IF($C$13="Yes",0,IF(C169&gt;D169,0,E169*(D169-C169)/D169))</f>
        <v>0</v>
      </c>
      <c r="H169" s="82">
        <f>IF(C169&gt;D169,0,G169*H167)</f>
        <v>0</v>
      </c>
      <c r="I169" s="130">
        <f>IF($C$13="Yes",0,IF(C169&gt;D169,0,E169*1/D169))</f>
        <v>0</v>
      </c>
      <c r="J169" s="82">
        <f>E169*J167</f>
        <v>305972.87900771457</v>
      </c>
      <c r="K169" s="82">
        <f>E169*K167</f>
        <v>853503.29407415108</v>
      </c>
      <c r="L169" s="82">
        <f t="shared" ref="L169:L170" si="74">SUM(H169:K169)</f>
        <v>1159476.1730818655</v>
      </c>
      <c r="M169" s="82">
        <f>L169+L170</f>
        <v>1159476.1730818655</v>
      </c>
      <c r="N169" s="19">
        <f>N163+L169</f>
        <v>15315718.249722367</v>
      </c>
      <c r="O169" s="82">
        <f>SUM(R169:S170)</f>
        <v>1159476.1730818655</v>
      </c>
      <c r="P169" s="82">
        <f>SUM(S169:S170)/2+SUM(R169:R170)</f>
        <v>579738.08654093277</v>
      </c>
      <c r="Q169" s="123">
        <f>C169+0.5</f>
        <v>26</v>
      </c>
      <c r="R169" s="189">
        <f>IF($C$13="Yes",0,IF(Q169&gt;D169,0,E169*(D169-Q169)/D169))</f>
        <v>0</v>
      </c>
      <c r="S169" s="82">
        <f>L169</f>
        <v>1159476.1730818655</v>
      </c>
    </row>
    <row r="170" spans="1:19" ht="12.5" x14ac:dyDescent="0.25">
      <c r="A170" s="17" t="str">
        <f>B170&amp;$B$167</f>
        <v>Cap Con on Completion Type 126</v>
      </c>
      <c r="B170" s="84" t="str">
        <f>B164</f>
        <v>Cap Con on Completion Type 1</v>
      </c>
      <c r="C170" s="114">
        <f>C164+1</f>
        <v>25.5</v>
      </c>
      <c r="D170" s="116">
        <f>D164</f>
        <v>0</v>
      </c>
      <c r="E170" s="78">
        <f>E164*SUM(VLOOKUP(SUM($C$10+B161),Data!$F:$G,2,FALSE))</f>
        <v>0</v>
      </c>
      <c r="F170" s="78">
        <f t="shared" ref="F170" si="75">E170</f>
        <v>0</v>
      </c>
      <c r="G170" s="78">
        <f>IF($C$13="Yes",0,IF(C170&gt;D170,0,E170*(D170-C170)/D170))</f>
        <v>0</v>
      </c>
      <c r="H170" s="79">
        <f>IF(C170&gt;D170,0,G170*H167)</f>
        <v>0</v>
      </c>
      <c r="I170" s="131">
        <f>IF($C$13="Yes",0,IF(C170&gt;D170,0,E170*1/D170))</f>
        <v>0</v>
      </c>
      <c r="J170" s="79">
        <f>E170*J167</f>
        <v>0</v>
      </c>
      <c r="K170" s="79">
        <f>E170*K167</f>
        <v>0</v>
      </c>
      <c r="L170" s="79">
        <f t="shared" si="74"/>
        <v>0</v>
      </c>
      <c r="M170" s="79"/>
      <c r="N170" s="19">
        <f>N164+L170</f>
        <v>0</v>
      </c>
      <c r="O170" s="79"/>
      <c r="P170" s="79"/>
      <c r="Q170" s="124">
        <f>C170+0.5</f>
        <v>26</v>
      </c>
      <c r="R170" s="190">
        <f>IF($C$13="Yes",0,IF(Q170&gt;D170,0,E170*(D170-Q170)/D170))</f>
        <v>0</v>
      </c>
      <c r="S170" s="79">
        <f t="shared" ref="S170" si="76">L170</f>
        <v>0</v>
      </c>
    </row>
    <row r="171" spans="1:19" ht="12.5" x14ac:dyDescent="0.25">
      <c r="A171" s="17"/>
      <c r="B171" s="134"/>
      <c r="C171" s="135"/>
      <c r="D171" s="136"/>
      <c r="E171" s="137"/>
      <c r="F171" s="137"/>
      <c r="G171" s="137"/>
      <c r="H171" s="38"/>
      <c r="I171" s="38"/>
      <c r="J171" s="38"/>
      <c r="K171" s="38"/>
      <c r="L171" s="38"/>
      <c r="M171" s="38"/>
      <c r="O171" s="38"/>
      <c r="P171" s="38"/>
      <c r="Q171" s="138"/>
      <c r="R171" s="38"/>
      <c r="S171" s="38"/>
    </row>
    <row r="172" spans="1:19" ht="23" x14ac:dyDescent="0.25">
      <c r="A172" s="19"/>
      <c r="B172" s="2"/>
      <c r="C172" s="37"/>
      <c r="D172" s="117"/>
      <c r="E172" s="117"/>
      <c r="F172" s="117"/>
      <c r="G172" s="117"/>
      <c r="H172" s="118" t="s">
        <v>12</v>
      </c>
      <c r="I172" s="119"/>
      <c r="J172" s="118" t="s">
        <v>11</v>
      </c>
      <c r="K172" s="118" t="s">
        <v>10</v>
      </c>
      <c r="L172" s="119"/>
      <c r="M172" s="40"/>
      <c r="N172" s="19">
        <f>N166+L172</f>
        <v>0</v>
      </c>
      <c r="O172" s="36"/>
      <c r="P172" s="36"/>
      <c r="Q172" s="37"/>
      <c r="R172" s="37"/>
      <c r="S172" s="37"/>
    </row>
    <row r="173" spans="1:19" ht="15.5" x14ac:dyDescent="0.25">
      <c r="A173" s="93" t="s">
        <v>8</v>
      </c>
      <c r="B173" s="111">
        <f>B167+1</f>
        <v>27</v>
      </c>
      <c r="C173" s="37"/>
      <c r="D173" s="117"/>
      <c r="E173" s="251"/>
      <c r="F173" s="251"/>
      <c r="G173" s="120"/>
      <c r="H173" s="121">
        <f>IF($C$13="Yes",0,IF(SUM($C$10+B173)&lt;=2020,"6%",VLOOKUP($C$6&amp;SUM($C$10+B173),Data!$C:$D,2,FALSE)))</f>
        <v>0</v>
      </c>
      <c r="I173" s="117"/>
      <c r="J173" s="121">
        <f>VLOOKUP(C174,Data!$F:$I,3,FALSE)</f>
        <v>3.8E-3</v>
      </c>
      <c r="K173" s="121">
        <f>VLOOKUP(C174,Data!$F:$I,4,FALSE)</f>
        <v>1.06E-2</v>
      </c>
      <c r="L173" s="117"/>
      <c r="M173" s="37"/>
      <c r="N173" s="19">
        <f>N167+L173</f>
        <v>0</v>
      </c>
      <c r="O173" s="121" t="s">
        <v>53</v>
      </c>
      <c r="P173" s="121" t="s">
        <v>54</v>
      </c>
      <c r="Q173" s="122"/>
      <c r="R173" s="37"/>
      <c r="S173" s="37"/>
    </row>
    <row r="174" spans="1:19" x14ac:dyDescent="0.25">
      <c r="A174" s="17"/>
      <c r="B174" s="70" t="s">
        <v>6</v>
      </c>
      <c r="C174" s="70">
        <f>C168+1</f>
        <v>2054</v>
      </c>
      <c r="D174" s="70" t="s">
        <v>5</v>
      </c>
      <c r="E174" s="70" t="s">
        <v>9</v>
      </c>
      <c r="F174" s="70" t="s">
        <v>7</v>
      </c>
      <c r="G174" s="70" t="s">
        <v>1</v>
      </c>
      <c r="H174" s="70" t="s">
        <v>0</v>
      </c>
      <c r="I174" s="70" t="s">
        <v>5</v>
      </c>
      <c r="J174" s="70" t="s">
        <v>3</v>
      </c>
      <c r="K174" s="70" t="s">
        <v>2</v>
      </c>
      <c r="L174" s="70" t="s">
        <v>4</v>
      </c>
      <c r="M174" s="70" t="s">
        <v>13</v>
      </c>
      <c r="N174" s="20"/>
      <c r="O174" s="70" t="s">
        <v>26</v>
      </c>
      <c r="P174" s="70" t="s">
        <v>26</v>
      </c>
      <c r="Q174" s="70" t="s">
        <v>27</v>
      </c>
      <c r="R174" s="70" t="s">
        <v>28</v>
      </c>
      <c r="S174" s="70" t="s">
        <v>29</v>
      </c>
    </row>
    <row r="175" spans="1:19" ht="12.5" x14ac:dyDescent="0.25">
      <c r="A175" s="17" t="str">
        <f>B175&amp;$B$173</f>
        <v>Cap Con on Completion Type 127</v>
      </c>
      <c r="B175" s="83" t="str">
        <f>B169</f>
        <v>Cap Con on Completion Type 1</v>
      </c>
      <c r="C175" s="113">
        <f>C169+1</f>
        <v>26.5</v>
      </c>
      <c r="D175" s="115">
        <f>D169</f>
        <v>40</v>
      </c>
      <c r="E175" s="81">
        <f>E169*SUM(VLOOKUP(SUM($C$10+B167),Data!$F:$G,2,FALSE))</f>
        <v>85744873.382977694</v>
      </c>
      <c r="F175" s="81">
        <f>E175</f>
        <v>85744873.382977694</v>
      </c>
      <c r="G175" s="81">
        <f>IF($C$13="Yes",0,IF(C175&gt;D175,0,E175*(D175-C175)/D175))</f>
        <v>0</v>
      </c>
      <c r="H175" s="82">
        <f>IF(C175&gt;D175,0,G175*H173)</f>
        <v>0</v>
      </c>
      <c r="I175" s="130">
        <f>IF($C$13="Yes",0,IF(C175&gt;D175,0,E175*1/D175))</f>
        <v>0</v>
      </c>
      <c r="J175" s="82">
        <f>E175*J173</f>
        <v>325830.51885531523</v>
      </c>
      <c r="K175" s="82">
        <f>E175*K173</f>
        <v>908895.65785956359</v>
      </c>
      <c r="L175" s="82">
        <f t="shared" ref="L175:L176" si="77">SUM(H175:K175)</f>
        <v>1234726.1767148788</v>
      </c>
      <c r="M175" s="82">
        <f>L175+L176</f>
        <v>1234726.1767148788</v>
      </c>
      <c r="N175" s="19">
        <f>N169+L175</f>
        <v>16550444.426437246</v>
      </c>
      <c r="O175" s="82">
        <f>SUM(R175:S176)</f>
        <v>1234726.1767148788</v>
      </c>
      <c r="P175" s="82">
        <f>SUM(S175:S176)/2+SUM(R175:R176)</f>
        <v>617363.08835743938</v>
      </c>
      <c r="Q175" s="123">
        <f>C175+0.5</f>
        <v>27</v>
      </c>
      <c r="R175" s="189">
        <f>IF($C$13="Yes",0,IF(Q175&gt;D175,0,E175*(D175-Q175)/D175))</f>
        <v>0</v>
      </c>
      <c r="S175" s="82">
        <f>L175</f>
        <v>1234726.1767148788</v>
      </c>
    </row>
    <row r="176" spans="1:19" ht="12.5" x14ac:dyDescent="0.25">
      <c r="A176" s="17" t="str">
        <f>B176&amp;$B$173</f>
        <v>Cap Con on Completion Type 127</v>
      </c>
      <c r="B176" s="84" t="str">
        <f>B170</f>
        <v>Cap Con on Completion Type 1</v>
      </c>
      <c r="C176" s="114">
        <f>C170+1</f>
        <v>26.5</v>
      </c>
      <c r="D176" s="116">
        <f>D170</f>
        <v>0</v>
      </c>
      <c r="E176" s="78">
        <f>E170*SUM(VLOOKUP(SUM($C$10+B167),Data!$F:$G,2,FALSE))</f>
        <v>0</v>
      </c>
      <c r="F176" s="78">
        <f t="shared" ref="F176" si="78">E176</f>
        <v>0</v>
      </c>
      <c r="G176" s="78">
        <f>IF($C$13="Yes",0,IF(C176&gt;D176,0,E176*(D176-C176)/D176))</f>
        <v>0</v>
      </c>
      <c r="H176" s="79">
        <f>IF(C176&gt;D176,0,G176*H173)</f>
        <v>0</v>
      </c>
      <c r="I176" s="131">
        <f>IF($C$13="Yes",0,IF(C176&gt;D176,0,E176*1/D176))</f>
        <v>0</v>
      </c>
      <c r="J176" s="79">
        <f>E176*J173</f>
        <v>0</v>
      </c>
      <c r="K176" s="79">
        <f>E176*K173</f>
        <v>0</v>
      </c>
      <c r="L176" s="79">
        <f t="shared" si="77"/>
        <v>0</v>
      </c>
      <c r="M176" s="79"/>
      <c r="N176" s="19">
        <f>N170+L176</f>
        <v>0</v>
      </c>
      <c r="O176" s="79"/>
      <c r="P176" s="79"/>
      <c r="Q176" s="124">
        <f>C176+0.5</f>
        <v>27</v>
      </c>
      <c r="R176" s="190">
        <f>IF($C$13="Yes",0,IF(Q176&gt;D176,0,E176*(D176-Q176)/D176))</f>
        <v>0</v>
      </c>
      <c r="S176" s="79">
        <f t="shared" ref="S176" si="79">L176</f>
        <v>0</v>
      </c>
    </row>
    <row r="177" spans="1:19" ht="12.5" x14ac:dyDescent="0.25">
      <c r="A177" s="17"/>
      <c r="B177" s="134"/>
      <c r="C177" s="135"/>
      <c r="D177" s="136"/>
      <c r="E177" s="137"/>
      <c r="F177" s="137"/>
      <c r="G177" s="137"/>
      <c r="H177" s="38"/>
      <c r="I177" s="38"/>
      <c r="J177" s="38"/>
      <c r="K177" s="38"/>
      <c r="L177" s="38"/>
      <c r="M177" s="38"/>
      <c r="O177" s="38"/>
      <c r="P177" s="38"/>
      <c r="Q177" s="138"/>
      <c r="R177" s="38"/>
      <c r="S177" s="38"/>
    </row>
    <row r="178" spans="1:19" ht="23" x14ac:dyDescent="0.25">
      <c r="A178" s="19"/>
      <c r="B178" s="2"/>
      <c r="C178" s="37"/>
      <c r="D178" s="117"/>
      <c r="E178" s="117"/>
      <c r="F178" s="117"/>
      <c r="G178" s="117"/>
      <c r="H178" s="118" t="s">
        <v>12</v>
      </c>
      <c r="I178" s="119"/>
      <c r="J178" s="118" t="s">
        <v>11</v>
      </c>
      <c r="K178" s="118" t="s">
        <v>10</v>
      </c>
      <c r="L178" s="119"/>
      <c r="M178" s="40"/>
      <c r="N178" s="19">
        <f>N172+L178</f>
        <v>0</v>
      </c>
      <c r="O178" s="36"/>
      <c r="P178" s="36"/>
      <c r="Q178" s="37"/>
      <c r="R178" s="37"/>
      <c r="S178" s="37"/>
    </row>
    <row r="179" spans="1:19" ht="15.5" x14ac:dyDescent="0.25">
      <c r="A179" s="93" t="s">
        <v>8</v>
      </c>
      <c r="B179" s="111">
        <f>B173+1</f>
        <v>28</v>
      </c>
      <c r="C179" s="37"/>
      <c r="D179" s="117"/>
      <c r="E179" s="251"/>
      <c r="F179" s="251"/>
      <c r="G179" s="120"/>
      <c r="H179" s="121">
        <f>IF($C$13="Yes",0,IF(SUM($C$10+B179)&lt;=2020,"6%",VLOOKUP($C$6&amp;SUM($C$10+B179),Data!$C:$D,2,FALSE)))</f>
        <v>0</v>
      </c>
      <c r="I179" s="117"/>
      <c r="J179" s="121">
        <f>VLOOKUP(C180,Data!$F:$I,3,FALSE)</f>
        <v>3.8E-3</v>
      </c>
      <c r="K179" s="121">
        <f>VLOOKUP(C180,Data!$F:$I,4,FALSE)</f>
        <v>1.06E-2</v>
      </c>
      <c r="L179" s="117"/>
      <c r="M179" s="37"/>
      <c r="N179" s="19">
        <f>N173+L179</f>
        <v>0</v>
      </c>
      <c r="O179" s="121" t="s">
        <v>53</v>
      </c>
      <c r="P179" s="121" t="s">
        <v>54</v>
      </c>
      <c r="Q179" s="122"/>
      <c r="R179" s="37"/>
      <c r="S179" s="37"/>
    </row>
    <row r="180" spans="1:19" x14ac:dyDescent="0.25">
      <c r="A180" s="17"/>
      <c r="B180" s="70" t="s">
        <v>6</v>
      </c>
      <c r="C180" s="70">
        <f>C174+1</f>
        <v>2055</v>
      </c>
      <c r="D180" s="70" t="s">
        <v>5</v>
      </c>
      <c r="E180" s="70" t="s">
        <v>9</v>
      </c>
      <c r="F180" s="70" t="s">
        <v>7</v>
      </c>
      <c r="G180" s="70" t="s">
        <v>1</v>
      </c>
      <c r="H180" s="70" t="s">
        <v>0</v>
      </c>
      <c r="I180" s="70" t="s">
        <v>5</v>
      </c>
      <c r="J180" s="70" t="s">
        <v>3</v>
      </c>
      <c r="K180" s="70" t="s">
        <v>2</v>
      </c>
      <c r="L180" s="70" t="s">
        <v>4</v>
      </c>
      <c r="M180" s="70" t="s">
        <v>13</v>
      </c>
      <c r="N180" s="20"/>
      <c r="O180" s="70" t="s">
        <v>26</v>
      </c>
      <c r="P180" s="70" t="s">
        <v>26</v>
      </c>
      <c r="Q180" s="70" t="s">
        <v>27</v>
      </c>
      <c r="R180" s="70" t="s">
        <v>28</v>
      </c>
      <c r="S180" s="70" t="s">
        <v>29</v>
      </c>
    </row>
    <row r="181" spans="1:19" ht="12.5" x14ac:dyDescent="0.25">
      <c r="A181" s="17" t="str">
        <f>B181&amp;$B$179</f>
        <v>Cap Con on Completion Type 128</v>
      </c>
      <c r="B181" s="83" t="str">
        <f>B175</f>
        <v>Cap Con on Completion Type 1</v>
      </c>
      <c r="C181" s="113">
        <f>C175+1</f>
        <v>27.5</v>
      </c>
      <c r="D181" s="115">
        <f>D175</f>
        <v>40</v>
      </c>
      <c r="E181" s="81">
        <f>E175*SUM(VLOOKUP(SUM($C$10+B173),Data!$F:$G,2,FALSE))</f>
        <v>91309715.665532947</v>
      </c>
      <c r="F181" s="81">
        <f>E181</f>
        <v>91309715.665532947</v>
      </c>
      <c r="G181" s="81">
        <f>IF($C$13="Yes",0,IF(C181&gt;D181,0,E181*(D181-C181)/D181))</f>
        <v>0</v>
      </c>
      <c r="H181" s="82">
        <f>IF(C181&gt;D181,0,G181*H179)</f>
        <v>0</v>
      </c>
      <c r="I181" s="130">
        <f>IF($C$13="Yes",0,IF(C181&gt;D181,0,E181*1/D181))</f>
        <v>0</v>
      </c>
      <c r="J181" s="82">
        <f>E181*J179</f>
        <v>346976.91952902521</v>
      </c>
      <c r="K181" s="82">
        <f>E181*K179</f>
        <v>967882.98605464923</v>
      </c>
      <c r="L181" s="82">
        <f t="shared" ref="L181:L182" si="80">SUM(H181:K181)</f>
        <v>1314859.9055836746</v>
      </c>
      <c r="M181" s="82">
        <f>L181+L182</f>
        <v>1314859.9055836746</v>
      </c>
      <c r="N181" s="19">
        <f>N175+L181</f>
        <v>17865304.33202092</v>
      </c>
      <c r="O181" s="82">
        <f>SUM(R181:S182)</f>
        <v>1314859.9055836746</v>
      </c>
      <c r="P181" s="82">
        <f>SUM(S181:S182)/2+SUM(R181:R182)</f>
        <v>657429.95279183728</v>
      </c>
      <c r="Q181" s="123">
        <f>C181+0.5</f>
        <v>28</v>
      </c>
      <c r="R181" s="189">
        <f>IF($C$13="Yes",0,IF(Q181&gt;D181,0,E181*(D181-Q181)/D181))</f>
        <v>0</v>
      </c>
      <c r="S181" s="82">
        <f>L181</f>
        <v>1314859.9055836746</v>
      </c>
    </row>
    <row r="182" spans="1:19" ht="12.5" x14ac:dyDescent="0.25">
      <c r="A182" s="17" t="str">
        <f>B182&amp;$B$179</f>
        <v>Cap Con on Completion Type 128</v>
      </c>
      <c r="B182" s="84" t="str">
        <f>B176</f>
        <v>Cap Con on Completion Type 1</v>
      </c>
      <c r="C182" s="114">
        <f>C176+1</f>
        <v>27.5</v>
      </c>
      <c r="D182" s="116">
        <f>D176</f>
        <v>0</v>
      </c>
      <c r="E182" s="78">
        <f>E176*SUM(VLOOKUP(SUM($C$10+B173),Data!$F:$G,2,FALSE))</f>
        <v>0</v>
      </c>
      <c r="F182" s="78">
        <f t="shared" ref="F182" si="81">E182</f>
        <v>0</v>
      </c>
      <c r="G182" s="78">
        <f>IF($C$13="Yes",0,IF(C182&gt;D182,0,E182*(D182-C182)/D182))</f>
        <v>0</v>
      </c>
      <c r="H182" s="79">
        <f>IF(C182&gt;D182,0,G182*H179)</f>
        <v>0</v>
      </c>
      <c r="I182" s="131">
        <f>IF($C$13="Yes",0,IF(C182&gt;D182,0,E182*1/D182))</f>
        <v>0</v>
      </c>
      <c r="J182" s="79">
        <f>E182*J179</f>
        <v>0</v>
      </c>
      <c r="K182" s="79">
        <f>E182*K179</f>
        <v>0</v>
      </c>
      <c r="L182" s="79">
        <f t="shared" si="80"/>
        <v>0</v>
      </c>
      <c r="M182" s="79"/>
      <c r="N182" s="19">
        <f>N176+L182</f>
        <v>0</v>
      </c>
      <c r="O182" s="79"/>
      <c r="P182" s="79"/>
      <c r="Q182" s="124">
        <f>C182+0.5</f>
        <v>28</v>
      </c>
      <c r="R182" s="190">
        <f>IF($C$13="Yes",0,IF(Q182&gt;D182,0,E182*(D182-Q182)/D182))</f>
        <v>0</v>
      </c>
      <c r="S182" s="79">
        <f t="shared" ref="S182" si="82">L182</f>
        <v>0</v>
      </c>
    </row>
    <row r="183" spans="1:19" ht="12.5" x14ac:dyDescent="0.25">
      <c r="A183" s="17"/>
      <c r="B183" s="134"/>
      <c r="C183" s="135"/>
      <c r="D183" s="136"/>
      <c r="E183" s="137"/>
      <c r="F183" s="137"/>
      <c r="G183" s="137"/>
      <c r="H183" s="38"/>
      <c r="I183" s="38"/>
      <c r="J183" s="38"/>
      <c r="K183" s="38"/>
      <c r="L183" s="38"/>
      <c r="M183" s="38"/>
      <c r="O183" s="38"/>
      <c r="P183" s="38"/>
      <c r="Q183" s="138"/>
      <c r="R183" s="38"/>
      <c r="S183" s="38"/>
    </row>
    <row r="184" spans="1:19" ht="23" x14ac:dyDescent="0.25">
      <c r="A184" s="19"/>
      <c r="B184" s="2"/>
      <c r="C184" s="37"/>
      <c r="D184" s="117"/>
      <c r="E184" s="117"/>
      <c r="F184" s="117"/>
      <c r="G184" s="117"/>
      <c r="H184" s="118" t="s">
        <v>12</v>
      </c>
      <c r="I184" s="119"/>
      <c r="J184" s="118" t="s">
        <v>11</v>
      </c>
      <c r="K184" s="118" t="s">
        <v>10</v>
      </c>
      <c r="L184" s="119"/>
      <c r="M184" s="40"/>
      <c r="N184" s="19">
        <f>N178+L184</f>
        <v>0</v>
      </c>
      <c r="O184" s="36"/>
      <c r="P184" s="36"/>
      <c r="Q184" s="37"/>
      <c r="R184" s="37"/>
      <c r="S184" s="37"/>
    </row>
    <row r="185" spans="1:19" ht="15.5" x14ac:dyDescent="0.25">
      <c r="A185" s="93" t="s">
        <v>8</v>
      </c>
      <c r="B185" s="111">
        <f>B179+1</f>
        <v>29</v>
      </c>
      <c r="C185" s="37"/>
      <c r="D185" s="117"/>
      <c r="E185" s="251"/>
      <c r="F185" s="251"/>
      <c r="G185" s="120"/>
      <c r="H185" s="121">
        <f>IF($C$13="Yes",0,IF(SUM($C$10+B185)&lt;=2020,"6%",VLOOKUP($C$6&amp;SUM($C$10+B185),Data!$C:$D,2,FALSE)))</f>
        <v>0</v>
      </c>
      <c r="I185" s="117"/>
      <c r="J185" s="121">
        <f>VLOOKUP(C186,Data!$F:$I,3,FALSE)</f>
        <v>3.8E-3</v>
      </c>
      <c r="K185" s="121">
        <f>VLOOKUP(C186,Data!$F:$I,4,FALSE)</f>
        <v>1.06E-2</v>
      </c>
      <c r="L185" s="117"/>
      <c r="M185" s="37"/>
      <c r="N185" s="19">
        <f>N179+L185</f>
        <v>0</v>
      </c>
      <c r="O185" s="121" t="s">
        <v>53</v>
      </c>
      <c r="P185" s="121" t="s">
        <v>54</v>
      </c>
      <c r="Q185" s="122"/>
      <c r="R185" s="37"/>
      <c r="S185" s="37"/>
    </row>
    <row r="186" spans="1:19" x14ac:dyDescent="0.25">
      <c r="A186" s="17"/>
      <c r="B186" s="70" t="s">
        <v>6</v>
      </c>
      <c r="C186" s="70">
        <f>C180+1</f>
        <v>2056</v>
      </c>
      <c r="D186" s="70" t="s">
        <v>5</v>
      </c>
      <c r="E186" s="70" t="s">
        <v>9</v>
      </c>
      <c r="F186" s="70" t="s">
        <v>7</v>
      </c>
      <c r="G186" s="70" t="s">
        <v>1</v>
      </c>
      <c r="H186" s="70" t="s">
        <v>0</v>
      </c>
      <c r="I186" s="70" t="s">
        <v>5</v>
      </c>
      <c r="J186" s="70" t="s">
        <v>3</v>
      </c>
      <c r="K186" s="70" t="s">
        <v>2</v>
      </c>
      <c r="L186" s="70" t="s">
        <v>4</v>
      </c>
      <c r="M186" s="70" t="s">
        <v>13</v>
      </c>
      <c r="N186" s="20"/>
      <c r="O186" s="70" t="s">
        <v>26</v>
      </c>
      <c r="P186" s="70" t="s">
        <v>26</v>
      </c>
      <c r="Q186" s="70" t="s">
        <v>27</v>
      </c>
      <c r="R186" s="70" t="s">
        <v>28</v>
      </c>
      <c r="S186" s="70" t="s">
        <v>29</v>
      </c>
    </row>
    <row r="187" spans="1:19" ht="12.5" x14ac:dyDescent="0.25">
      <c r="A187" s="17" t="str">
        <f>B187&amp;$B$185</f>
        <v>Cap Con on Completion Type 129</v>
      </c>
      <c r="B187" s="83" t="str">
        <f>B181</f>
        <v>Cap Con on Completion Type 1</v>
      </c>
      <c r="C187" s="113">
        <f>C181+1</f>
        <v>28.5</v>
      </c>
      <c r="D187" s="115">
        <f>D181</f>
        <v>40</v>
      </c>
      <c r="E187" s="81">
        <f>E181*SUM(VLOOKUP(SUM($C$10+B179),Data!$F:$G,2,FALSE))</f>
        <v>97235716.212226033</v>
      </c>
      <c r="F187" s="81">
        <f>E187</f>
        <v>97235716.212226033</v>
      </c>
      <c r="G187" s="81">
        <f>IF($C$13="Yes",0,IF(C187&gt;D187,0,E187*(D187-C187)/D187))</f>
        <v>0</v>
      </c>
      <c r="H187" s="82">
        <f>IF(C187&gt;D187,0,G187*H185)</f>
        <v>0</v>
      </c>
      <c r="I187" s="130">
        <f>IF($C$13="Yes",0,IF(C187&gt;D187,0,E187*1/D187))</f>
        <v>0</v>
      </c>
      <c r="J187" s="82">
        <f>E187*J185</f>
        <v>369495.72160645894</v>
      </c>
      <c r="K187" s="82">
        <f>E187*K185</f>
        <v>1030698.591849596</v>
      </c>
      <c r="L187" s="82">
        <f t="shared" ref="L187:L188" si="83">SUM(H187:K187)</f>
        <v>1400194.313456055</v>
      </c>
      <c r="M187" s="82">
        <f>L187+L188</f>
        <v>1400194.313456055</v>
      </c>
      <c r="N187" s="19">
        <f>N181+L187</f>
        <v>19265498.645476975</v>
      </c>
      <c r="O187" s="82">
        <f>SUM(R187:S188)</f>
        <v>1400194.313456055</v>
      </c>
      <c r="P187" s="82">
        <f>SUM(S187:S188)/2+SUM(R187:R188)</f>
        <v>700097.1567280275</v>
      </c>
      <c r="Q187" s="123">
        <f>C187+0.5</f>
        <v>29</v>
      </c>
      <c r="R187" s="189">
        <f>IF($C$13="Yes",0,IF(Q187&gt;D187,0,E187*(D187-Q187)/D187))</f>
        <v>0</v>
      </c>
      <c r="S187" s="82">
        <f>L187</f>
        <v>1400194.313456055</v>
      </c>
    </row>
    <row r="188" spans="1:19" ht="12.5" x14ac:dyDescent="0.25">
      <c r="A188" s="17" t="str">
        <f>B188&amp;$B$185</f>
        <v>Cap Con on Completion Type 129</v>
      </c>
      <c r="B188" s="84" t="str">
        <f>B182</f>
        <v>Cap Con on Completion Type 1</v>
      </c>
      <c r="C188" s="114">
        <f>C182+1</f>
        <v>28.5</v>
      </c>
      <c r="D188" s="116">
        <f>D182</f>
        <v>0</v>
      </c>
      <c r="E188" s="78">
        <f>E182*SUM(VLOOKUP(SUM($C$10+B179),Data!$F:$G,2,FALSE))</f>
        <v>0</v>
      </c>
      <c r="F188" s="78">
        <f t="shared" ref="F188" si="84">E188</f>
        <v>0</v>
      </c>
      <c r="G188" s="78">
        <f>IF($C$13="Yes",0,IF(C188&gt;D188,0,E188*(D188-C188)/D188))</f>
        <v>0</v>
      </c>
      <c r="H188" s="79">
        <f>IF(C188&gt;D188,0,G188*H185)</f>
        <v>0</v>
      </c>
      <c r="I188" s="131">
        <f>IF($C$13="Yes",0,IF(C188&gt;D188,0,E188*1/D188))</f>
        <v>0</v>
      </c>
      <c r="J188" s="79">
        <f>E188*J185</f>
        <v>0</v>
      </c>
      <c r="K188" s="79">
        <f>E188*K185</f>
        <v>0</v>
      </c>
      <c r="L188" s="79">
        <f t="shared" si="83"/>
        <v>0</v>
      </c>
      <c r="M188" s="79"/>
      <c r="N188" s="19">
        <f>N182+L188</f>
        <v>0</v>
      </c>
      <c r="O188" s="79"/>
      <c r="P188" s="79"/>
      <c r="Q188" s="124">
        <f>C188+0.5</f>
        <v>29</v>
      </c>
      <c r="R188" s="190">
        <f>IF($C$13="Yes",0,IF(Q188&gt;D188,0,E188*(D188-Q188)/D188))</f>
        <v>0</v>
      </c>
      <c r="S188" s="79">
        <f t="shared" ref="S188" si="85">L188</f>
        <v>0</v>
      </c>
    </row>
    <row r="189" spans="1:19" ht="12.5" x14ac:dyDescent="0.25">
      <c r="A189" s="17"/>
      <c r="B189" s="134"/>
      <c r="C189" s="135"/>
      <c r="D189" s="136"/>
      <c r="E189" s="137"/>
      <c r="F189" s="137"/>
      <c r="G189" s="137"/>
      <c r="H189" s="38"/>
      <c r="I189" s="38"/>
      <c r="J189" s="38"/>
      <c r="K189" s="38"/>
      <c r="L189" s="38"/>
      <c r="M189" s="38"/>
      <c r="O189" s="38"/>
      <c r="P189" s="38"/>
      <c r="Q189" s="138"/>
      <c r="R189" s="38"/>
      <c r="S189" s="38"/>
    </row>
    <row r="190" spans="1:19" ht="23" x14ac:dyDescent="0.25">
      <c r="A190" s="19"/>
      <c r="B190" s="2"/>
      <c r="C190" s="37"/>
      <c r="D190" s="117"/>
      <c r="E190" s="117"/>
      <c r="F190" s="117"/>
      <c r="G190" s="117"/>
      <c r="H190" s="118" t="s">
        <v>12</v>
      </c>
      <c r="I190" s="119"/>
      <c r="J190" s="118" t="s">
        <v>11</v>
      </c>
      <c r="K190" s="118" t="s">
        <v>10</v>
      </c>
      <c r="L190" s="119"/>
      <c r="M190" s="40"/>
      <c r="N190" s="19">
        <f>N184+L190</f>
        <v>0</v>
      </c>
      <c r="O190" s="36"/>
      <c r="P190" s="36"/>
      <c r="Q190" s="37"/>
      <c r="R190" s="37"/>
      <c r="S190" s="37"/>
    </row>
    <row r="191" spans="1:19" ht="15.5" x14ac:dyDescent="0.25">
      <c r="A191" s="93" t="s">
        <v>8</v>
      </c>
      <c r="B191" s="111">
        <f>B185+1</f>
        <v>30</v>
      </c>
      <c r="C191" s="37"/>
      <c r="D191" s="117"/>
      <c r="E191" s="251"/>
      <c r="F191" s="251"/>
      <c r="G191" s="120"/>
      <c r="H191" s="121">
        <f>IF($C$13="Yes",0,IF(SUM($C$10+B191)&lt;=2020,"6%",VLOOKUP($C$6&amp;SUM($C$10+B191),Data!$C:$D,2,FALSE)))</f>
        <v>0</v>
      </c>
      <c r="I191" s="117"/>
      <c r="J191" s="121">
        <f>VLOOKUP(C192,Data!$F:$I,3,FALSE)</f>
        <v>3.8E-3</v>
      </c>
      <c r="K191" s="121">
        <f>VLOOKUP(C192,Data!$F:$I,4,FALSE)</f>
        <v>1.06E-2</v>
      </c>
      <c r="L191" s="117"/>
      <c r="M191" s="37"/>
      <c r="N191" s="19">
        <f>N185+L191</f>
        <v>0</v>
      </c>
      <c r="O191" s="121" t="s">
        <v>53</v>
      </c>
      <c r="P191" s="121" t="s">
        <v>54</v>
      </c>
      <c r="Q191" s="122"/>
      <c r="R191" s="37"/>
      <c r="S191" s="37"/>
    </row>
    <row r="192" spans="1:19" x14ac:dyDescent="0.25">
      <c r="A192" s="17"/>
      <c r="B192" s="70" t="s">
        <v>6</v>
      </c>
      <c r="C192" s="70">
        <f>C186+1</f>
        <v>2057</v>
      </c>
      <c r="D192" s="70" t="s">
        <v>5</v>
      </c>
      <c r="E192" s="70" t="s">
        <v>9</v>
      </c>
      <c r="F192" s="70" t="s">
        <v>7</v>
      </c>
      <c r="G192" s="70" t="s">
        <v>1</v>
      </c>
      <c r="H192" s="70" t="s">
        <v>0</v>
      </c>
      <c r="I192" s="70" t="s">
        <v>5</v>
      </c>
      <c r="J192" s="70" t="s">
        <v>3</v>
      </c>
      <c r="K192" s="70" t="s">
        <v>2</v>
      </c>
      <c r="L192" s="70" t="s">
        <v>4</v>
      </c>
      <c r="M192" s="70" t="s">
        <v>13</v>
      </c>
      <c r="N192" s="20"/>
      <c r="O192" s="70" t="s">
        <v>26</v>
      </c>
      <c r="P192" s="70" t="s">
        <v>26</v>
      </c>
      <c r="Q192" s="70" t="s">
        <v>27</v>
      </c>
      <c r="R192" s="70" t="s">
        <v>28</v>
      </c>
      <c r="S192" s="70" t="s">
        <v>29</v>
      </c>
    </row>
    <row r="193" spans="1:19" ht="12.5" x14ac:dyDescent="0.25">
      <c r="A193" s="17" t="str">
        <f>B193&amp;$B$191</f>
        <v>Cap Con on Completion Type 130</v>
      </c>
      <c r="B193" s="83" t="str">
        <f>B187</f>
        <v>Cap Con on Completion Type 1</v>
      </c>
      <c r="C193" s="113">
        <f>C187+1</f>
        <v>29.5</v>
      </c>
      <c r="D193" s="115">
        <f>D187</f>
        <v>40</v>
      </c>
      <c r="E193" s="81">
        <f>E187*SUM(VLOOKUP(SUM($C$10+B185),Data!$F:$G,2,FALSE))</f>
        <v>103546314.19439951</v>
      </c>
      <c r="F193" s="81">
        <f>E193</f>
        <v>103546314.19439951</v>
      </c>
      <c r="G193" s="81">
        <f>IF($C$13="Yes",0,IF(C193&gt;D193,0,E193*(D193-C193)/D193))</f>
        <v>0</v>
      </c>
      <c r="H193" s="82">
        <f>IF(C193&gt;D193,0,G193*H191)</f>
        <v>0</v>
      </c>
      <c r="I193" s="130">
        <f>IF($C$13="Yes",0,IF(C193&gt;D193,0,E193*1/D193))</f>
        <v>0</v>
      </c>
      <c r="J193" s="82">
        <f>E193*J191</f>
        <v>393475.99393871811</v>
      </c>
      <c r="K193" s="82">
        <f>E193*K191</f>
        <v>1097590.9304606349</v>
      </c>
      <c r="L193" s="82">
        <f t="shared" ref="L193:L194" si="86">SUM(H193:K193)</f>
        <v>1491066.9243993531</v>
      </c>
      <c r="M193" s="82">
        <f>L193+L194</f>
        <v>1491066.9243993531</v>
      </c>
      <c r="N193" s="19">
        <f>N187+L193</f>
        <v>20756565.569876328</v>
      </c>
      <c r="O193" s="82">
        <f>SUM(R193:S194)</f>
        <v>1491066.9243993531</v>
      </c>
      <c r="P193" s="82">
        <f>SUM(S193:S194)/2+SUM(R193:R194)</f>
        <v>745533.46219967655</v>
      </c>
      <c r="Q193" s="123">
        <f>C193+0.5</f>
        <v>30</v>
      </c>
      <c r="R193" s="189">
        <f>IF($C$13="Yes",0,IF(Q193&gt;D193,0,E193*(D193-Q193)/D193))</f>
        <v>0</v>
      </c>
      <c r="S193" s="82">
        <f>L193</f>
        <v>1491066.9243993531</v>
      </c>
    </row>
    <row r="194" spans="1:19" ht="12.5" x14ac:dyDescent="0.25">
      <c r="A194" s="17" t="str">
        <f>B194&amp;$B$191</f>
        <v>Cap Con on Completion Type 130</v>
      </c>
      <c r="B194" s="84" t="str">
        <f>B188</f>
        <v>Cap Con on Completion Type 1</v>
      </c>
      <c r="C194" s="114">
        <f>C188+1</f>
        <v>29.5</v>
      </c>
      <c r="D194" s="116">
        <f>D188</f>
        <v>0</v>
      </c>
      <c r="E194" s="78">
        <f>E188*SUM(VLOOKUP(SUM($C$10+B185),Data!$F:$G,2,FALSE))</f>
        <v>0</v>
      </c>
      <c r="F194" s="78">
        <f t="shared" ref="F194" si="87">E194</f>
        <v>0</v>
      </c>
      <c r="G194" s="78">
        <f>IF($C$13="Yes",0,IF(C194&gt;D194,0,E194*(D194-C194)/D194))</f>
        <v>0</v>
      </c>
      <c r="H194" s="79">
        <f>IF(C194&gt;D194,0,G194*H191)</f>
        <v>0</v>
      </c>
      <c r="I194" s="131">
        <f>IF($C$13="Yes",0,IF(C194&gt;D194,0,E194*1/D194))</f>
        <v>0</v>
      </c>
      <c r="J194" s="79">
        <f>E194*J191</f>
        <v>0</v>
      </c>
      <c r="K194" s="79">
        <f>E194*K191</f>
        <v>0</v>
      </c>
      <c r="L194" s="79">
        <f t="shared" si="86"/>
        <v>0</v>
      </c>
      <c r="M194" s="79"/>
      <c r="N194" s="19">
        <f>N188+L194</f>
        <v>0</v>
      </c>
      <c r="O194" s="79"/>
      <c r="P194" s="79"/>
      <c r="Q194" s="124">
        <f>C194+0.5</f>
        <v>30</v>
      </c>
      <c r="R194" s="190">
        <f>IF($C$13="Yes",0,IF(Q194&gt;D194,0,E194*(D194-Q194)/D194))</f>
        <v>0</v>
      </c>
      <c r="S194" s="79">
        <f t="shared" ref="S194" si="88">L194</f>
        <v>0</v>
      </c>
    </row>
    <row r="195" spans="1:19" ht="12.5" x14ac:dyDescent="0.25">
      <c r="A195" s="17"/>
      <c r="B195" s="134"/>
      <c r="C195" s="135"/>
      <c r="D195" s="136"/>
      <c r="E195" s="137"/>
      <c r="F195" s="137"/>
      <c r="G195" s="137"/>
      <c r="H195" s="38"/>
      <c r="I195" s="38"/>
      <c r="J195" s="38"/>
      <c r="K195" s="38"/>
      <c r="L195" s="38"/>
      <c r="M195" s="38"/>
      <c r="O195" s="38"/>
      <c r="P195" s="38"/>
      <c r="Q195" s="138"/>
      <c r="R195" s="38"/>
      <c r="S195" s="38"/>
    </row>
    <row r="196" spans="1:19" ht="23" x14ac:dyDescent="0.25">
      <c r="A196" s="19"/>
      <c r="B196" s="2"/>
      <c r="C196" s="37"/>
      <c r="D196" s="117"/>
      <c r="E196" s="117"/>
      <c r="F196" s="117"/>
      <c r="G196" s="117"/>
      <c r="H196" s="118" t="s">
        <v>12</v>
      </c>
      <c r="I196" s="119"/>
      <c r="J196" s="118" t="s">
        <v>11</v>
      </c>
      <c r="K196" s="118" t="s">
        <v>10</v>
      </c>
      <c r="L196" s="119"/>
      <c r="M196" s="40"/>
      <c r="N196" s="19">
        <f>N190+L196</f>
        <v>0</v>
      </c>
      <c r="O196" s="36"/>
      <c r="P196" s="36"/>
      <c r="Q196" s="37"/>
      <c r="R196" s="37"/>
      <c r="S196" s="37"/>
    </row>
    <row r="197" spans="1:19" ht="15.5" x14ac:dyDescent="0.25">
      <c r="A197" s="93" t="s">
        <v>8</v>
      </c>
      <c r="B197" s="111">
        <f>B191+1</f>
        <v>31</v>
      </c>
      <c r="C197" s="37"/>
      <c r="D197" s="117"/>
      <c r="E197" s="251"/>
      <c r="F197" s="251"/>
      <c r="G197" s="120"/>
      <c r="H197" s="121">
        <f>IF($C$13="Yes",0,IF(SUM($C$10+B197)&lt;=2020,"6%",VLOOKUP($C$6&amp;SUM($C$10+B197),Data!$C:$D,2,FALSE)))</f>
        <v>0</v>
      </c>
      <c r="I197" s="117"/>
      <c r="J197" s="121">
        <f>VLOOKUP(C198,Data!$F:$I,3,FALSE)</f>
        <v>3.8E-3</v>
      </c>
      <c r="K197" s="121">
        <f>VLOOKUP(C198,Data!$F:$I,4,FALSE)</f>
        <v>1.06E-2</v>
      </c>
      <c r="L197" s="117"/>
      <c r="M197" s="37"/>
      <c r="N197" s="19">
        <f>N191+L197</f>
        <v>0</v>
      </c>
      <c r="O197" s="121" t="s">
        <v>53</v>
      </c>
      <c r="P197" s="121" t="s">
        <v>54</v>
      </c>
      <c r="Q197" s="122"/>
      <c r="R197" s="37"/>
      <c r="S197" s="37"/>
    </row>
    <row r="198" spans="1:19" x14ac:dyDescent="0.25">
      <c r="A198" s="17"/>
      <c r="B198" s="70" t="s">
        <v>6</v>
      </c>
      <c r="C198" s="70">
        <f>C192+1</f>
        <v>2058</v>
      </c>
      <c r="D198" s="70" t="s">
        <v>5</v>
      </c>
      <c r="E198" s="70" t="s">
        <v>9</v>
      </c>
      <c r="F198" s="70" t="s">
        <v>7</v>
      </c>
      <c r="G198" s="70" t="s">
        <v>1</v>
      </c>
      <c r="H198" s="70" t="s">
        <v>0</v>
      </c>
      <c r="I198" s="70" t="s">
        <v>5</v>
      </c>
      <c r="J198" s="70" t="s">
        <v>3</v>
      </c>
      <c r="K198" s="70" t="s">
        <v>2</v>
      </c>
      <c r="L198" s="70" t="s">
        <v>4</v>
      </c>
      <c r="M198" s="70" t="s">
        <v>13</v>
      </c>
      <c r="N198" s="20"/>
      <c r="O198" s="70" t="s">
        <v>26</v>
      </c>
      <c r="P198" s="70" t="s">
        <v>26</v>
      </c>
      <c r="Q198" s="70" t="s">
        <v>27</v>
      </c>
      <c r="R198" s="70" t="s">
        <v>28</v>
      </c>
      <c r="S198" s="70" t="s">
        <v>29</v>
      </c>
    </row>
    <row r="199" spans="1:19" ht="12.5" x14ac:dyDescent="0.25">
      <c r="A199" s="17" t="str">
        <f>B199&amp;$B$197</f>
        <v>Cap Con on Completion Type 131</v>
      </c>
      <c r="B199" s="83" t="str">
        <f>B193</f>
        <v>Cap Con on Completion Type 1</v>
      </c>
      <c r="C199" s="113">
        <f>C193+1</f>
        <v>30.5</v>
      </c>
      <c r="D199" s="115">
        <f>D193</f>
        <v>40</v>
      </c>
      <c r="E199" s="81">
        <f>E193*SUM(VLOOKUP(SUM($C$10+B191),Data!$F:$G,2,FALSE))</f>
        <v>110266469.98561603</v>
      </c>
      <c r="F199" s="81">
        <f>E199</f>
        <v>110266469.98561603</v>
      </c>
      <c r="G199" s="81">
        <f>IF($C$13="Yes",0,IF(C199&gt;D199,0,E199*(D199-C199)/D199))</f>
        <v>0</v>
      </c>
      <c r="H199" s="82">
        <f>IF(C199&gt;D199,0,G199*H197)</f>
        <v>0</v>
      </c>
      <c r="I199" s="130">
        <f>IF($C$13="Yes",0,IF(C199&gt;D199,0,E199*1/D199))</f>
        <v>0</v>
      </c>
      <c r="J199" s="82">
        <f>E199*J197</f>
        <v>419012.58594534092</v>
      </c>
      <c r="K199" s="82">
        <f>E199*K197</f>
        <v>1168824.5818475299</v>
      </c>
      <c r="L199" s="82">
        <f t="shared" ref="L199:L200" si="89">SUM(H199:K199)</f>
        <v>1587837.1677928707</v>
      </c>
      <c r="M199" s="82">
        <f>L199+L200</f>
        <v>1587837.1677928707</v>
      </c>
      <c r="N199" s="19">
        <f>N193+L199</f>
        <v>22344402.7376692</v>
      </c>
      <c r="O199" s="82">
        <f>SUM(R199:S200)</f>
        <v>1587837.1677928707</v>
      </c>
      <c r="P199" s="82">
        <f>SUM(S199:S200)/2+SUM(R199:R200)</f>
        <v>793918.58389643533</v>
      </c>
      <c r="Q199" s="123">
        <f>C199+0.5</f>
        <v>31</v>
      </c>
      <c r="R199" s="189">
        <f>IF($C$13="Yes",0,IF(Q199&gt;D199,0,E199*(D199-Q199)/D199))</f>
        <v>0</v>
      </c>
      <c r="S199" s="82">
        <f>L199</f>
        <v>1587837.1677928707</v>
      </c>
    </row>
    <row r="200" spans="1:19" ht="12.5" x14ac:dyDescent="0.25">
      <c r="A200" s="17" t="str">
        <f>B200&amp;$B$197</f>
        <v>Cap Con on Completion Type 131</v>
      </c>
      <c r="B200" s="84" t="str">
        <f>B194</f>
        <v>Cap Con on Completion Type 1</v>
      </c>
      <c r="C200" s="114">
        <f>C194+1</f>
        <v>30.5</v>
      </c>
      <c r="D200" s="116">
        <f>D194</f>
        <v>0</v>
      </c>
      <c r="E200" s="78">
        <f>E194*SUM(VLOOKUP(SUM($C$10+B191),Data!$F:$G,2,FALSE))</f>
        <v>0</v>
      </c>
      <c r="F200" s="78">
        <f t="shared" ref="F200" si="90">E200</f>
        <v>0</v>
      </c>
      <c r="G200" s="78">
        <f>IF($C$13="Yes",0,IF(C200&gt;D200,0,E200*(D200-C200)/D200))</f>
        <v>0</v>
      </c>
      <c r="H200" s="79">
        <f>IF(C200&gt;D200,0,G200*H197)</f>
        <v>0</v>
      </c>
      <c r="I200" s="131">
        <f>IF($C$13="Yes",0,IF(C200&gt;D200,0,E200*1/D200))</f>
        <v>0</v>
      </c>
      <c r="J200" s="79">
        <f>E200*J197</f>
        <v>0</v>
      </c>
      <c r="K200" s="79">
        <f>E200*K197</f>
        <v>0</v>
      </c>
      <c r="L200" s="79">
        <f t="shared" si="89"/>
        <v>0</v>
      </c>
      <c r="M200" s="79"/>
      <c r="N200" s="19">
        <f>N194+L200</f>
        <v>0</v>
      </c>
      <c r="O200" s="79"/>
      <c r="P200" s="79"/>
      <c r="Q200" s="124">
        <f>C200+0.5</f>
        <v>31</v>
      </c>
      <c r="R200" s="190">
        <f>IF($C$13="Yes",0,IF(Q200&gt;D200,0,E200*(D200-Q200)/D200))</f>
        <v>0</v>
      </c>
      <c r="S200" s="79">
        <f t="shared" ref="S200" si="91">L200</f>
        <v>0</v>
      </c>
    </row>
    <row r="201" spans="1:19" ht="12.5" x14ac:dyDescent="0.25">
      <c r="A201" s="17"/>
      <c r="B201" s="134"/>
      <c r="C201" s="135"/>
      <c r="D201" s="136"/>
      <c r="E201" s="137"/>
      <c r="F201" s="137"/>
      <c r="G201" s="137"/>
      <c r="H201" s="38"/>
      <c r="I201" s="38"/>
      <c r="J201" s="38"/>
      <c r="K201" s="38"/>
      <c r="L201" s="38"/>
      <c r="M201" s="38"/>
      <c r="O201" s="38"/>
      <c r="P201" s="38"/>
      <c r="Q201" s="138"/>
      <c r="R201" s="38"/>
      <c r="S201" s="38"/>
    </row>
    <row r="202" spans="1:19" ht="23" x14ac:dyDescent="0.25">
      <c r="A202" s="19"/>
      <c r="B202" s="2"/>
      <c r="C202" s="37"/>
      <c r="D202" s="117"/>
      <c r="E202" s="117"/>
      <c r="F202" s="117"/>
      <c r="G202" s="117"/>
      <c r="H202" s="118" t="s">
        <v>12</v>
      </c>
      <c r="I202" s="119"/>
      <c r="J202" s="118" t="s">
        <v>11</v>
      </c>
      <c r="K202" s="118" t="s">
        <v>10</v>
      </c>
      <c r="L202" s="119"/>
      <c r="M202" s="40"/>
      <c r="N202" s="19">
        <f>N196+L202</f>
        <v>0</v>
      </c>
      <c r="O202" s="36"/>
      <c r="P202" s="36"/>
      <c r="Q202" s="37"/>
      <c r="R202" s="37"/>
      <c r="S202" s="37"/>
    </row>
    <row r="203" spans="1:19" ht="15.5" x14ac:dyDescent="0.25">
      <c r="A203" s="93" t="s">
        <v>8</v>
      </c>
      <c r="B203" s="111">
        <f>B197+1</f>
        <v>32</v>
      </c>
      <c r="C203" s="37"/>
      <c r="D203" s="117"/>
      <c r="E203" s="251"/>
      <c r="F203" s="251"/>
      <c r="G203" s="120"/>
      <c r="H203" s="121">
        <f>IF($C$13="Yes",0,IF(SUM($C$10+B203)&lt;=2020,"6%",VLOOKUP($C$6&amp;SUM($C$10+B203),Data!$C:$D,2,FALSE)))</f>
        <v>0</v>
      </c>
      <c r="I203" s="117"/>
      <c r="J203" s="121">
        <f>VLOOKUP(C204,Data!$F:$I,3,FALSE)</f>
        <v>3.8E-3</v>
      </c>
      <c r="K203" s="121">
        <f>VLOOKUP(C204,Data!$F:$I,4,FALSE)</f>
        <v>1.06E-2</v>
      </c>
      <c r="L203" s="117"/>
      <c r="M203" s="37"/>
      <c r="N203" s="19">
        <f>N197+L203</f>
        <v>0</v>
      </c>
      <c r="O203" s="121" t="s">
        <v>53</v>
      </c>
      <c r="P203" s="121" t="s">
        <v>54</v>
      </c>
      <c r="Q203" s="122"/>
      <c r="R203" s="37"/>
      <c r="S203" s="37"/>
    </row>
    <row r="204" spans="1:19" x14ac:dyDescent="0.25">
      <c r="A204" s="17"/>
      <c r="B204" s="70" t="s">
        <v>6</v>
      </c>
      <c r="C204" s="70">
        <f>C198+1</f>
        <v>2059</v>
      </c>
      <c r="D204" s="70" t="s">
        <v>5</v>
      </c>
      <c r="E204" s="70" t="s">
        <v>9</v>
      </c>
      <c r="F204" s="70" t="s">
        <v>7</v>
      </c>
      <c r="G204" s="70" t="s">
        <v>1</v>
      </c>
      <c r="H204" s="70" t="s">
        <v>0</v>
      </c>
      <c r="I204" s="70" t="s">
        <v>5</v>
      </c>
      <c r="J204" s="70" t="s">
        <v>3</v>
      </c>
      <c r="K204" s="70" t="s">
        <v>2</v>
      </c>
      <c r="L204" s="70" t="s">
        <v>4</v>
      </c>
      <c r="M204" s="70" t="s">
        <v>13</v>
      </c>
      <c r="N204" s="20"/>
      <c r="O204" s="70" t="s">
        <v>26</v>
      </c>
      <c r="P204" s="70" t="s">
        <v>26</v>
      </c>
      <c r="Q204" s="70" t="s">
        <v>27</v>
      </c>
      <c r="R204" s="70" t="s">
        <v>28</v>
      </c>
      <c r="S204" s="70" t="s">
        <v>29</v>
      </c>
    </row>
    <row r="205" spans="1:19" ht="12.5" x14ac:dyDescent="0.25">
      <c r="A205" s="17" t="str">
        <f>B205&amp;$B$203</f>
        <v>Cap Con on Completion Type 132</v>
      </c>
      <c r="B205" s="83" t="str">
        <f>B199</f>
        <v>Cap Con on Completion Type 1</v>
      </c>
      <c r="C205" s="113">
        <f>C199+1</f>
        <v>31.5</v>
      </c>
      <c r="D205" s="115">
        <f>D199</f>
        <v>40</v>
      </c>
      <c r="E205" s="81">
        <f>E199*SUM(VLOOKUP(SUM($C$10+B197),Data!$F:$G,2,FALSE))</f>
        <v>117422763.8876825</v>
      </c>
      <c r="F205" s="81">
        <f>E205</f>
        <v>117422763.8876825</v>
      </c>
      <c r="G205" s="81">
        <f>IF($C$13="Yes",0,IF(C205&gt;D205,0,E205*(D205-C205)/D205))</f>
        <v>0</v>
      </c>
      <c r="H205" s="82">
        <f>IF(C205&gt;D205,0,G205*H203)</f>
        <v>0</v>
      </c>
      <c r="I205" s="130">
        <f>IF($C$13="Yes",0,IF(C205&gt;D205,0,E205*1/D205))</f>
        <v>0</v>
      </c>
      <c r="J205" s="82">
        <f>E205*J203</f>
        <v>446206.50277319347</v>
      </c>
      <c r="K205" s="82">
        <f>E205*K203</f>
        <v>1244681.2972094344</v>
      </c>
      <c r="L205" s="82">
        <f t="shared" ref="L205:L206" si="92">SUM(H205:K205)</f>
        <v>1690887.7999826279</v>
      </c>
      <c r="M205" s="82">
        <f>L205+L206</f>
        <v>1690887.7999826279</v>
      </c>
      <c r="N205" s="19">
        <f>N199+L205</f>
        <v>24035290.537651829</v>
      </c>
      <c r="O205" s="82">
        <f>SUM(R205:S206)</f>
        <v>1690887.7999826279</v>
      </c>
      <c r="P205" s="82">
        <f>SUM(S205:S206)/2+SUM(R205:R206)</f>
        <v>845443.89999131393</v>
      </c>
      <c r="Q205" s="123">
        <f>C205+0.5</f>
        <v>32</v>
      </c>
      <c r="R205" s="189">
        <f>IF($C$13="Yes",0,IF(Q205&gt;D205,0,E205*(D205-Q205)/D205))</f>
        <v>0</v>
      </c>
      <c r="S205" s="82">
        <f>L205</f>
        <v>1690887.7999826279</v>
      </c>
    </row>
    <row r="206" spans="1:19" ht="12.5" x14ac:dyDescent="0.25">
      <c r="A206" s="17" t="str">
        <f>B206&amp;$B$203</f>
        <v>Cap Con on Completion Type 132</v>
      </c>
      <c r="B206" s="84" t="str">
        <f>B200</f>
        <v>Cap Con on Completion Type 1</v>
      </c>
      <c r="C206" s="114">
        <f>C200+1</f>
        <v>31.5</v>
      </c>
      <c r="D206" s="116">
        <f>D200</f>
        <v>0</v>
      </c>
      <c r="E206" s="78">
        <f>E200*SUM(VLOOKUP(SUM($C$10+B197),Data!$F:$G,2,FALSE))</f>
        <v>0</v>
      </c>
      <c r="F206" s="78">
        <f t="shared" ref="F206" si="93">E206</f>
        <v>0</v>
      </c>
      <c r="G206" s="78">
        <f>IF($C$13="Yes",0,IF(C206&gt;D206,0,E206*(D206-C206)/D206))</f>
        <v>0</v>
      </c>
      <c r="H206" s="79">
        <f>IF(C206&gt;D206,0,G206*H203)</f>
        <v>0</v>
      </c>
      <c r="I206" s="131">
        <f>IF($C$13="Yes",0,IF(C206&gt;D206,0,E206*1/D206))</f>
        <v>0</v>
      </c>
      <c r="J206" s="79">
        <f>E206*J203</f>
        <v>0</v>
      </c>
      <c r="K206" s="79">
        <f>E206*K203</f>
        <v>0</v>
      </c>
      <c r="L206" s="79">
        <f t="shared" si="92"/>
        <v>0</v>
      </c>
      <c r="M206" s="79"/>
      <c r="N206" s="19">
        <f>N200+L206</f>
        <v>0</v>
      </c>
      <c r="O206" s="79"/>
      <c r="P206" s="79"/>
      <c r="Q206" s="124">
        <f>C206+0.5</f>
        <v>32</v>
      </c>
      <c r="R206" s="190">
        <f>IF($C$13="Yes",0,IF(Q206&gt;D206,0,E206*(D206-Q206)/D206))</f>
        <v>0</v>
      </c>
      <c r="S206" s="79">
        <f t="shared" ref="S206" si="94">L206</f>
        <v>0</v>
      </c>
    </row>
    <row r="207" spans="1:19" ht="12.5" x14ac:dyDescent="0.25">
      <c r="A207" s="17"/>
      <c r="B207" s="134"/>
      <c r="C207" s="135"/>
      <c r="D207" s="136"/>
      <c r="E207" s="137"/>
      <c r="F207" s="137"/>
      <c r="G207" s="137"/>
      <c r="H207" s="38"/>
      <c r="I207" s="38"/>
      <c r="J207" s="38"/>
      <c r="K207" s="38"/>
      <c r="L207" s="38"/>
      <c r="M207" s="38"/>
      <c r="O207" s="38"/>
      <c r="P207" s="38"/>
      <c r="Q207" s="138"/>
      <c r="R207" s="38"/>
      <c r="S207" s="38"/>
    </row>
    <row r="208" spans="1:19" ht="23" x14ac:dyDescent="0.25">
      <c r="A208" s="19"/>
      <c r="B208" s="2"/>
      <c r="C208" s="37"/>
      <c r="D208" s="117"/>
      <c r="E208" s="117"/>
      <c r="F208" s="117"/>
      <c r="G208" s="117"/>
      <c r="H208" s="118" t="s">
        <v>12</v>
      </c>
      <c r="I208" s="119"/>
      <c r="J208" s="118" t="s">
        <v>11</v>
      </c>
      <c r="K208" s="118" t="s">
        <v>10</v>
      </c>
      <c r="L208" s="119"/>
      <c r="M208" s="40"/>
      <c r="N208" s="19">
        <f>N202+L208</f>
        <v>0</v>
      </c>
      <c r="O208" s="36"/>
      <c r="P208" s="36"/>
      <c r="Q208" s="37"/>
      <c r="R208" s="37"/>
      <c r="S208" s="37"/>
    </row>
    <row r="209" spans="1:19" ht="15.5" x14ac:dyDescent="0.25">
      <c r="A209" s="93" t="s">
        <v>8</v>
      </c>
      <c r="B209" s="111">
        <f>B203+1</f>
        <v>33</v>
      </c>
      <c r="C209" s="37"/>
      <c r="D209" s="117"/>
      <c r="E209" s="251"/>
      <c r="F209" s="251"/>
      <c r="G209" s="120"/>
      <c r="H209" s="121">
        <f>IF($C$13="Yes",0,IF(SUM($C$10+B209)&lt;=2020,"6%",VLOOKUP($C$6&amp;SUM($C$10+B209),Data!$C:$D,2,FALSE)))</f>
        <v>0</v>
      </c>
      <c r="I209" s="117"/>
      <c r="J209" s="121">
        <f>VLOOKUP(C210,Data!$F:$I,3,FALSE)</f>
        <v>3.8E-3</v>
      </c>
      <c r="K209" s="121">
        <f>VLOOKUP(C210,Data!$F:$I,4,FALSE)</f>
        <v>1.06E-2</v>
      </c>
      <c r="L209" s="117"/>
      <c r="M209" s="37"/>
      <c r="N209" s="19">
        <f>N203+L209</f>
        <v>0</v>
      </c>
      <c r="O209" s="121" t="s">
        <v>53</v>
      </c>
      <c r="P209" s="121" t="s">
        <v>54</v>
      </c>
      <c r="Q209" s="122"/>
      <c r="R209" s="37"/>
      <c r="S209" s="37"/>
    </row>
    <row r="210" spans="1:19" x14ac:dyDescent="0.25">
      <c r="A210" s="17"/>
      <c r="B210" s="70" t="s">
        <v>6</v>
      </c>
      <c r="C210" s="70">
        <f>C204+1</f>
        <v>2060</v>
      </c>
      <c r="D210" s="70" t="s">
        <v>5</v>
      </c>
      <c r="E210" s="70" t="s">
        <v>9</v>
      </c>
      <c r="F210" s="70" t="s">
        <v>7</v>
      </c>
      <c r="G210" s="70" t="s">
        <v>1</v>
      </c>
      <c r="H210" s="70" t="s">
        <v>0</v>
      </c>
      <c r="I210" s="70" t="s">
        <v>5</v>
      </c>
      <c r="J210" s="70" t="s">
        <v>3</v>
      </c>
      <c r="K210" s="70" t="s">
        <v>2</v>
      </c>
      <c r="L210" s="70" t="s">
        <v>4</v>
      </c>
      <c r="M210" s="70" t="s">
        <v>13</v>
      </c>
      <c r="N210" s="20"/>
      <c r="O210" s="70" t="s">
        <v>26</v>
      </c>
      <c r="P210" s="70" t="s">
        <v>26</v>
      </c>
      <c r="Q210" s="70" t="s">
        <v>27</v>
      </c>
      <c r="R210" s="70" t="s">
        <v>28</v>
      </c>
      <c r="S210" s="70" t="s">
        <v>29</v>
      </c>
    </row>
    <row r="211" spans="1:19" ht="12.5" x14ac:dyDescent="0.25">
      <c r="A211" s="17" t="str">
        <f>B211&amp;$B$209</f>
        <v>Cap Con on Completion Type 133</v>
      </c>
      <c r="B211" s="83" t="str">
        <f>B205</f>
        <v>Cap Con on Completion Type 1</v>
      </c>
      <c r="C211" s="113">
        <f>C205+1</f>
        <v>32.5</v>
      </c>
      <c r="D211" s="115">
        <f>D205</f>
        <v>40</v>
      </c>
      <c r="E211" s="81">
        <f>E205*SUM(VLOOKUP(SUM($C$10+B203),Data!$F:$G,2,FALSE))</f>
        <v>125043501.26399308</v>
      </c>
      <c r="F211" s="81">
        <f>E211</f>
        <v>125043501.26399308</v>
      </c>
      <c r="G211" s="81">
        <f>IF($C$13="Yes",0,IF(C211&gt;D211,0,E211*(D211-C211)/D211))</f>
        <v>0</v>
      </c>
      <c r="H211" s="82">
        <f>IF(C211&gt;D211,0,G211*H209)</f>
        <v>0</v>
      </c>
      <c r="I211" s="130">
        <f>IF($C$13="Yes",0,IF(C211&gt;D211,0,E211*1/D211))</f>
        <v>0</v>
      </c>
      <c r="J211" s="82">
        <f>E211*J209</f>
        <v>475165.3048031737</v>
      </c>
      <c r="K211" s="82">
        <f>E211*K209</f>
        <v>1325461.1133983268</v>
      </c>
      <c r="L211" s="82">
        <f t="shared" ref="L211:L212" si="95">SUM(H211:K211)</f>
        <v>1800626.4182015005</v>
      </c>
      <c r="M211" s="82">
        <f>L211+L212</f>
        <v>1800626.4182015005</v>
      </c>
      <c r="N211" s="19">
        <f>N205+L211</f>
        <v>25835916.955853328</v>
      </c>
      <c r="O211" s="82">
        <f>SUM(R211:S212)</f>
        <v>1800626.4182015005</v>
      </c>
      <c r="P211" s="82">
        <f>SUM(S211:S212)/2+SUM(R211:R212)</f>
        <v>900313.20910075027</v>
      </c>
      <c r="Q211" s="123">
        <f>C211+0.5</f>
        <v>33</v>
      </c>
      <c r="R211" s="189">
        <f>IF($C$13="Yes",0,IF(Q211&gt;D211,0,E211*(D211-Q211)/D211))</f>
        <v>0</v>
      </c>
      <c r="S211" s="82">
        <f>L211</f>
        <v>1800626.4182015005</v>
      </c>
    </row>
    <row r="212" spans="1:19" ht="12.5" x14ac:dyDescent="0.25">
      <c r="A212" s="17" t="str">
        <f>B212&amp;$B$209</f>
        <v>Cap Con on Completion Type 133</v>
      </c>
      <c r="B212" s="84" t="str">
        <f>B206</f>
        <v>Cap Con on Completion Type 1</v>
      </c>
      <c r="C212" s="114">
        <f>C206+1</f>
        <v>32.5</v>
      </c>
      <c r="D212" s="116">
        <f>D206</f>
        <v>0</v>
      </c>
      <c r="E212" s="78">
        <f>E206*SUM(VLOOKUP(SUM($C$10+B203),Data!$F:$G,2,FALSE))</f>
        <v>0</v>
      </c>
      <c r="F212" s="78">
        <f t="shared" ref="F212" si="96">E212</f>
        <v>0</v>
      </c>
      <c r="G212" s="78">
        <f>IF($C$13="Yes",0,IF(C212&gt;D212,0,E212*(D212-C212)/D212))</f>
        <v>0</v>
      </c>
      <c r="H212" s="79">
        <f>IF(C212&gt;D212,0,G212*H209)</f>
        <v>0</v>
      </c>
      <c r="I212" s="131">
        <f>IF($C$13="Yes",0,IF(C212&gt;D212,0,E212*1/D212))</f>
        <v>0</v>
      </c>
      <c r="J212" s="79">
        <f>E212*J209</f>
        <v>0</v>
      </c>
      <c r="K212" s="79">
        <f>E212*K209</f>
        <v>0</v>
      </c>
      <c r="L212" s="79">
        <f t="shared" si="95"/>
        <v>0</v>
      </c>
      <c r="M212" s="79"/>
      <c r="N212" s="19">
        <f>N206+L212</f>
        <v>0</v>
      </c>
      <c r="O212" s="79"/>
      <c r="P212" s="79"/>
      <c r="Q212" s="124">
        <f>C212+0.5</f>
        <v>33</v>
      </c>
      <c r="R212" s="190">
        <f>IF($C$13="Yes",0,IF(Q212&gt;D212,0,E212*(D212-Q212)/D212))</f>
        <v>0</v>
      </c>
      <c r="S212" s="79">
        <f t="shared" ref="S212" si="97">L212</f>
        <v>0</v>
      </c>
    </row>
    <row r="213" spans="1:19" ht="12.5" x14ac:dyDescent="0.25">
      <c r="A213" s="17"/>
      <c r="B213" s="134"/>
      <c r="C213" s="135"/>
      <c r="D213" s="136"/>
      <c r="E213" s="137"/>
      <c r="F213" s="137"/>
      <c r="G213" s="137"/>
      <c r="H213" s="38"/>
      <c r="I213" s="38"/>
      <c r="J213" s="38"/>
      <c r="K213" s="38"/>
      <c r="L213" s="38"/>
      <c r="M213" s="38"/>
      <c r="O213" s="38"/>
      <c r="P213" s="38"/>
      <c r="Q213" s="138"/>
      <c r="R213" s="38"/>
      <c r="S213" s="38"/>
    </row>
    <row r="214" spans="1:19" ht="23" x14ac:dyDescent="0.25">
      <c r="A214" s="19"/>
      <c r="B214" s="2"/>
      <c r="C214" s="37"/>
      <c r="D214" s="117"/>
      <c r="E214" s="117"/>
      <c r="F214" s="117"/>
      <c r="G214" s="117"/>
      <c r="H214" s="118" t="s">
        <v>12</v>
      </c>
      <c r="I214" s="119"/>
      <c r="J214" s="118" t="s">
        <v>11</v>
      </c>
      <c r="K214" s="118" t="s">
        <v>10</v>
      </c>
      <c r="L214" s="119"/>
      <c r="M214" s="40"/>
      <c r="N214" s="19">
        <f>N208+L214</f>
        <v>0</v>
      </c>
      <c r="O214" s="36"/>
      <c r="P214" s="36"/>
      <c r="Q214" s="37"/>
      <c r="R214" s="37"/>
      <c r="S214" s="37"/>
    </row>
    <row r="215" spans="1:19" ht="15.5" x14ac:dyDescent="0.25">
      <c r="A215" s="93" t="s">
        <v>8</v>
      </c>
      <c r="B215" s="111">
        <f>B209+1</f>
        <v>34</v>
      </c>
      <c r="C215" s="37"/>
      <c r="D215" s="117"/>
      <c r="E215" s="251"/>
      <c r="F215" s="251"/>
      <c r="G215" s="120"/>
      <c r="H215" s="121">
        <f>IF($C$13="Yes",0,IF(SUM($C$10+B215)&lt;=2020,"6%",VLOOKUP($C$6&amp;SUM($C$10+B215),Data!$C:$D,2,FALSE)))</f>
        <v>0</v>
      </c>
      <c r="I215" s="117"/>
      <c r="J215" s="121">
        <f>VLOOKUP(C216,Data!$F:$I,3,FALSE)</f>
        <v>3.8E-3</v>
      </c>
      <c r="K215" s="121">
        <f>VLOOKUP(C216,Data!$F:$I,4,FALSE)</f>
        <v>1.06E-2</v>
      </c>
      <c r="L215" s="117"/>
      <c r="M215" s="37"/>
      <c r="N215" s="19">
        <f>N209+L215</f>
        <v>0</v>
      </c>
      <c r="O215" s="121" t="s">
        <v>53</v>
      </c>
      <c r="P215" s="121" t="s">
        <v>54</v>
      </c>
      <c r="Q215" s="122"/>
      <c r="R215" s="37"/>
      <c r="S215" s="37"/>
    </row>
    <row r="216" spans="1:19" x14ac:dyDescent="0.25">
      <c r="A216" s="17"/>
      <c r="B216" s="70" t="s">
        <v>6</v>
      </c>
      <c r="C216" s="70">
        <f>C210+1</f>
        <v>2061</v>
      </c>
      <c r="D216" s="70" t="s">
        <v>5</v>
      </c>
      <c r="E216" s="70" t="s">
        <v>9</v>
      </c>
      <c r="F216" s="70" t="s">
        <v>7</v>
      </c>
      <c r="G216" s="70" t="s">
        <v>1</v>
      </c>
      <c r="H216" s="70" t="s">
        <v>0</v>
      </c>
      <c r="I216" s="70" t="s">
        <v>5</v>
      </c>
      <c r="J216" s="70" t="s">
        <v>3</v>
      </c>
      <c r="K216" s="70" t="s">
        <v>2</v>
      </c>
      <c r="L216" s="70" t="s">
        <v>4</v>
      </c>
      <c r="M216" s="70" t="s">
        <v>13</v>
      </c>
      <c r="N216" s="20"/>
      <c r="O216" s="70" t="s">
        <v>26</v>
      </c>
      <c r="P216" s="70" t="s">
        <v>26</v>
      </c>
      <c r="Q216" s="70" t="s">
        <v>27</v>
      </c>
      <c r="R216" s="70" t="s">
        <v>28</v>
      </c>
      <c r="S216" s="70" t="s">
        <v>29</v>
      </c>
    </row>
    <row r="217" spans="1:19" ht="12.5" x14ac:dyDescent="0.25">
      <c r="A217" s="17" t="str">
        <f>B217&amp;$B$215</f>
        <v>Cap Con on Completion Type 134</v>
      </c>
      <c r="B217" s="83" t="str">
        <f>B211</f>
        <v>Cap Con on Completion Type 1</v>
      </c>
      <c r="C217" s="113">
        <f>C211+1</f>
        <v>33.5</v>
      </c>
      <c r="D217" s="115">
        <f>D211</f>
        <v>40</v>
      </c>
      <c r="E217" s="81">
        <f>E211*SUM(VLOOKUP(SUM($C$10+B209),Data!$F:$G,2,FALSE))</f>
        <v>133158824.49602623</v>
      </c>
      <c r="F217" s="81">
        <f>E217</f>
        <v>133158824.49602623</v>
      </c>
      <c r="G217" s="81">
        <f>IF($C$13="Yes",0,IF(C217&gt;D217,0,E217*(D217-C217)/D217))</f>
        <v>0</v>
      </c>
      <c r="H217" s="82">
        <f>IF(C217&gt;D217,0,G217*H215)</f>
        <v>0</v>
      </c>
      <c r="I217" s="130">
        <f>IF($C$13="Yes",0,IF(C217&gt;D217,0,E217*1/D217))</f>
        <v>0</v>
      </c>
      <c r="J217" s="82">
        <f>E217*J215</f>
        <v>506003.53308489971</v>
      </c>
      <c r="K217" s="82">
        <f>E217*K215</f>
        <v>1411483.539657878</v>
      </c>
      <c r="L217" s="82">
        <f t="shared" ref="L217:L218" si="98">SUM(H217:K217)</f>
        <v>1917487.0727427776</v>
      </c>
      <c r="M217" s="82">
        <f>L217+L218</f>
        <v>1917487.0727427776</v>
      </c>
      <c r="N217" s="19">
        <f>N211+L217</f>
        <v>27753404.028596107</v>
      </c>
      <c r="O217" s="82">
        <f>SUM(R217:S218)</f>
        <v>1917487.0727427776</v>
      </c>
      <c r="P217" s="82">
        <f>SUM(S217:S218)/2+SUM(R217:R218)</f>
        <v>958743.53637138882</v>
      </c>
      <c r="Q217" s="123">
        <f>C217+0.5</f>
        <v>34</v>
      </c>
      <c r="R217" s="189">
        <f>IF($C$13="Yes",0,IF(Q217&gt;D217,0,E217*(D217-Q217)/D217))</f>
        <v>0</v>
      </c>
      <c r="S217" s="82">
        <f>L217</f>
        <v>1917487.0727427776</v>
      </c>
    </row>
    <row r="218" spans="1:19" ht="12.5" x14ac:dyDescent="0.25">
      <c r="A218" s="17" t="str">
        <f>B218&amp;$B$215</f>
        <v>Cap Con on Completion Type 134</v>
      </c>
      <c r="B218" s="84" t="str">
        <f>B212</f>
        <v>Cap Con on Completion Type 1</v>
      </c>
      <c r="C218" s="114">
        <f>C212+1</f>
        <v>33.5</v>
      </c>
      <c r="D218" s="116">
        <f>D212</f>
        <v>0</v>
      </c>
      <c r="E218" s="78">
        <f>E212*SUM(VLOOKUP(SUM($C$10+B209),Data!$F:$G,2,FALSE))</f>
        <v>0</v>
      </c>
      <c r="F218" s="78">
        <f t="shared" ref="F218" si="99">E218</f>
        <v>0</v>
      </c>
      <c r="G218" s="78">
        <f>IF($C$13="Yes",0,IF(C218&gt;D218,0,E218*(D218-C218)/D218))</f>
        <v>0</v>
      </c>
      <c r="H218" s="79">
        <f>IF(C218&gt;D218,0,G218*H215)</f>
        <v>0</v>
      </c>
      <c r="I218" s="131">
        <f>IF($C$13="Yes",0,IF(C218&gt;D218,0,E218*1/D218))</f>
        <v>0</v>
      </c>
      <c r="J218" s="79">
        <f>E218*J215</f>
        <v>0</v>
      </c>
      <c r="K218" s="79">
        <f>E218*K215</f>
        <v>0</v>
      </c>
      <c r="L218" s="79">
        <f t="shared" si="98"/>
        <v>0</v>
      </c>
      <c r="M218" s="79"/>
      <c r="N218" s="19">
        <f>N212+L218</f>
        <v>0</v>
      </c>
      <c r="O218" s="79"/>
      <c r="P218" s="79"/>
      <c r="Q218" s="124">
        <f>C218+0.5</f>
        <v>34</v>
      </c>
      <c r="R218" s="190">
        <f>IF($C$13="Yes",0,IF(Q218&gt;D218,0,E218*(D218-Q218)/D218))</f>
        <v>0</v>
      </c>
      <c r="S218" s="79">
        <f t="shared" ref="S218" si="100">L218</f>
        <v>0</v>
      </c>
    </row>
    <row r="219" spans="1:19" ht="12.5" x14ac:dyDescent="0.25">
      <c r="A219" s="17"/>
      <c r="B219" s="134"/>
      <c r="C219" s="135"/>
      <c r="D219" s="136"/>
      <c r="E219" s="137"/>
      <c r="F219" s="137"/>
      <c r="G219" s="137"/>
      <c r="H219" s="38"/>
      <c r="I219" s="38"/>
      <c r="J219" s="38"/>
      <c r="K219" s="38"/>
      <c r="L219" s="38"/>
      <c r="M219" s="38"/>
      <c r="O219" s="38"/>
      <c r="P219" s="38"/>
      <c r="Q219" s="138"/>
      <c r="R219" s="38"/>
      <c r="S219" s="38"/>
    </row>
    <row r="220" spans="1:19" ht="22.4" customHeight="1" x14ac:dyDescent="0.25">
      <c r="A220" s="19"/>
      <c r="B220" s="2"/>
      <c r="C220" s="37"/>
      <c r="D220" s="117"/>
      <c r="E220" s="117"/>
      <c r="F220" s="117"/>
      <c r="G220" s="117"/>
      <c r="H220" s="118" t="s">
        <v>12</v>
      </c>
      <c r="I220" s="119"/>
      <c r="J220" s="118" t="s">
        <v>11</v>
      </c>
      <c r="K220" s="118" t="s">
        <v>10</v>
      </c>
      <c r="L220" s="119"/>
      <c r="M220" s="40"/>
      <c r="N220" s="19">
        <f>N214+L220</f>
        <v>0</v>
      </c>
      <c r="O220" s="36"/>
      <c r="P220" s="36"/>
      <c r="Q220" s="37"/>
      <c r="R220" s="37"/>
      <c r="S220" s="37"/>
    </row>
    <row r="221" spans="1:19" ht="15.5" x14ac:dyDescent="0.25">
      <c r="A221" s="93" t="s">
        <v>8</v>
      </c>
      <c r="B221" s="111">
        <f>B215+1</f>
        <v>35</v>
      </c>
      <c r="C221" s="37"/>
      <c r="D221" s="117"/>
      <c r="E221" s="251"/>
      <c r="F221" s="251"/>
      <c r="G221" s="120"/>
      <c r="H221" s="121">
        <f>IF($C$13="Yes",0,IF(SUM($C$10+B221)&lt;=2020,"6%",VLOOKUP($C$6&amp;SUM($C$10+B221),Data!$C:$D,2,FALSE)))</f>
        <v>0</v>
      </c>
      <c r="I221" s="117"/>
      <c r="J221" s="121">
        <f>VLOOKUP(C222,Data!$F:$I,3,FALSE)</f>
        <v>3.8E-3</v>
      </c>
      <c r="K221" s="121">
        <f>VLOOKUP(C222,Data!$F:$I,4,FALSE)</f>
        <v>1.06E-2</v>
      </c>
      <c r="L221" s="117"/>
      <c r="M221" s="37"/>
      <c r="N221" s="19">
        <f>N215+L221</f>
        <v>0</v>
      </c>
      <c r="O221" s="121" t="s">
        <v>53</v>
      </c>
      <c r="P221" s="121" t="s">
        <v>54</v>
      </c>
      <c r="Q221" s="122"/>
      <c r="R221" s="37"/>
      <c r="S221" s="37"/>
    </row>
    <row r="222" spans="1:19" x14ac:dyDescent="0.25">
      <c r="A222" s="17"/>
      <c r="B222" s="70" t="s">
        <v>6</v>
      </c>
      <c r="C222" s="70">
        <f>C216+1</f>
        <v>2062</v>
      </c>
      <c r="D222" s="70" t="s">
        <v>5</v>
      </c>
      <c r="E222" s="70" t="s">
        <v>9</v>
      </c>
      <c r="F222" s="70" t="s">
        <v>7</v>
      </c>
      <c r="G222" s="70" t="s">
        <v>1</v>
      </c>
      <c r="H222" s="70" t="s">
        <v>0</v>
      </c>
      <c r="I222" s="70" t="s">
        <v>5</v>
      </c>
      <c r="J222" s="70" t="s">
        <v>3</v>
      </c>
      <c r="K222" s="70" t="s">
        <v>2</v>
      </c>
      <c r="L222" s="70" t="s">
        <v>4</v>
      </c>
      <c r="M222" s="70" t="s">
        <v>13</v>
      </c>
      <c r="N222" s="20"/>
      <c r="O222" s="70" t="s">
        <v>26</v>
      </c>
      <c r="P222" s="70" t="s">
        <v>26</v>
      </c>
      <c r="Q222" s="70" t="s">
        <v>27</v>
      </c>
      <c r="R222" s="70" t="s">
        <v>28</v>
      </c>
      <c r="S222" s="70" t="s">
        <v>29</v>
      </c>
    </row>
    <row r="223" spans="1:19" ht="12.5" x14ac:dyDescent="0.25">
      <c r="A223" s="17" t="str">
        <f>B223&amp;$B$221</f>
        <v>Cap Con on Completion Type 135</v>
      </c>
      <c r="B223" s="83" t="str">
        <f>B217</f>
        <v>Cap Con on Completion Type 1</v>
      </c>
      <c r="C223" s="113">
        <f>C217+1</f>
        <v>34.5</v>
      </c>
      <c r="D223" s="115">
        <f>D217</f>
        <v>40</v>
      </c>
      <c r="E223" s="81">
        <f>E217*SUM(VLOOKUP(SUM($C$10+B215),Data!$F:$G,2,FALSE))</f>
        <v>141800832.20581833</v>
      </c>
      <c r="F223" s="81">
        <f>E223</f>
        <v>141800832.20581833</v>
      </c>
      <c r="G223" s="81">
        <f>IF($C$13="Yes",0,IF(C223&gt;D223,0,E223*(D223-C223)/D223))</f>
        <v>0</v>
      </c>
      <c r="H223" s="82">
        <f>IF(C223&gt;D223,0,G223*H221)</f>
        <v>0</v>
      </c>
      <c r="I223" s="130">
        <f>IF($C$13="Yes",0,IF(C223&gt;D223,0,E223*1/D223))</f>
        <v>0</v>
      </c>
      <c r="J223" s="82">
        <f>E223*J221</f>
        <v>538843.16238210967</v>
      </c>
      <c r="K223" s="82">
        <f>E223*K221</f>
        <v>1503088.8213816741</v>
      </c>
      <c r="L223" s="82">
        <f t="shared" ref="L223:L224" si="101">SUM(H223:K223)</f>
        <v>2041931.9837637837</v>
      </c>
      <c r="M223" s="82">
        <f>L223+L224</f>
        <v>2041931.9837637837</v>
      </c>
      <c r="N223" s="19">
        <f>N217+L223</f>
        <v>29795336.012359891</v>
      </c>
      <c r="O223" s="82">
        <f>SUM(R223:S224)</f>
        <v>2041931.9837637837</v>
      </c>
      <c r="P223" s="82">
        <f>SUM(S223:S224)/2+SUM(R223:R224)</f>
        <v>1020965.9918818919</v>
      </c>
      <c r="Q223" s="123">
        <f>C223+0.5</f>
        <v>35</v>
      </c>
      <c r="R223" s="189">
        <f>IF($C$13="Yes",0,IF(Q223&gt;D223,0,E223*(D223-Q223)/D223))</f>
        <v>0</v>
      </c>
      <c r="S223" s="82">
        <f>L223</f>
        <v>2041931.9837637837</v>
      </c>
    </row>
    <row r="224" spans="1:19" ht="12.5" x14ac:dyDescent="0.25">
      <c r="A224" s="17" t="str">
        <f>B224&amp;$B$221</f>
        <v>Cap Con on Completion Type 135</v>
      </c>
      <c r="B224" s="84" t="str">
        <f>B218</f>
        <v>Cap Con on Completion Type 1</v>
      </c>
      <c r="C224" s="114">
        <f>C218+1</f>
        <v>34.5</v>
      </c>
      <c r="D224" s="116">
        <f>D218</f>
        <v>0</v>
      </c>
      <c r="E224" s="78">
        <f>E218*SUM(VLOOKUP(SUM($C$10+B215),Data!$F:$G,2,FALSE))</f>
        <v>0</v>
      </c>
      <c r="F224" s="78">
        <f t="shared" ref="F224" si="102">E224</f>
        <v>0</v>
      </c>
      <c r="G224" s="78">
        <f>IF($C$13="Yes",0,IF(C224&gt;D224,0,E224*(D224-C224)/D224))</f>
        <v>0</v>
      </c>
      <c r="H224" s="79">
        <f>IF(C224&gt;D224,0,G224*H221)</f>
        <v>0</v>
      </c>
      <c r="I224" s="131">
        <f>IF($C$13="Yes",0,IF(C224&gt;D224,0,E224*1/D224))</f>
        <v>0</v>
      </c>
      <c r="J224" s="79">
        <f>E224*J221</f>
        <v>0</v>
      </c>
      <c r="K224" s="79">
        <f>E224*K221</f>
        <v>0</v>
      </c>
      <c r="L224" s="79">
        <f t="shared" si="101"/>
        <v>0</v>
      </c>
      <c r="M224" s="79"/>
      <c r="N224" s="19">
        <f>N218+L224</f>
        <v>0</v>
      </c>
      <c r="O224" s="79"/>
      <c r="P224" s="79"/>
      <c r="Q224" s="124">
        <f>C224+0.5</f>
        <v>35</v>
      </c>
      <c r="R224" s="190">
        <f>IF($C$13="Yes",0,IF(Q224&gt;D224,0,E224*(D224-Q224)/D224))</f>
        <v>0</v>
      </c>
      <c r="S224" s="79">
        <f t="shared" ref="S224" si="103">L224</f>
        <v>0</v>
      </c>
    </row>
    <row r="225" spans="1:19" ht="12.5" x14ac:dyDescent="0.25">
      <c r="A225" s="17"/>
      <c r="B225" s="134"/>
      <c r="C225" s="135"/>
      <c r="D225" s="136"/>
      <c r="E225" s="137"/>
      <c r="F225" s="137"/>
      <c r="G225" s="137"/>
      <c r="H225" s="38"/>
      <c r="I225" s="38"/>
      <c r="J225" s="38"/>
      <c r="K225" s="38"/>
      <c r="L225" s="38"/>
      <c r="M225" s="38"/>
      <c r="O225" s="38"/>
      <c r="P225" s="38"/>
      <c r="Q225" s="138"/>
      <c r="R225" s="38"/>
      <c r="S225" s="38"/>
    </row>
    <row r="226" spans="1:19" ht="23" x14ac:dyDescent="0.25">
      <c r="A226" s="19"/>
      <c r="B226" s="2"/>
      <c r="C226" s="37"/>
      <c r="D226" s="117"/>
      <c r="E226" s="117"/>
      <c r="F226" s="117"/>
      <c r="G226" s="117"/>
      <c r="H226" s="118" t="s">
        <v>12</v>
      </c>
      <c r="I226" s="119"/>
      <c r="J226" s="118" t="s">
        <v>11</v>
      </c>
      <c r="K226" s="118" t="s">
        <v>10</v>
      </c>
      <c r="L226" s="119"/>
      <c r="M226" s="40"/>
      <c r="N226" s="19">
        <f>N220+L226</f>
        <v>0</v>
      </c>
      <c r="O226" s="36"/>
      <c r="P226" s="36"/>
      <c r="Q226" s="37"/>
      <c r="R226" s="37"/>
      <c r="S226" s="37"/>
    </row>
    <row r="227" spans="1:19" ht="15.5" x14ac:dyDescent="0.25">
      <c r="A227" s="93" t="s">
        <v>8</v>
      </c>
      <c r="B227" s="111">
        <f>B221+1</f>
        <v>36</v>
      </c>
      <c r="C227" s="37"/>
      <c r="D227" s="117"/>
      <c r="E227" s="251"/>
      <c r="F227" s="251"/>
      <c r="G227" s="120"/>
      <c r="H227" s="121">
        <f>IF($C$13="Yes",0,IF(SUM($C$10+B227)&lt;=2020,"6%",VLOOKUP($C$6&amp;SUM($C$10+B227),Data!$C:$D,2,FALSE)))</f>
        <v>0</v>
      </c>
      <c r="I227" s="117"/>
      <c r="J227" s="121">
        <f>VLOOKUP(C228,Data!$F:$I,3,FALSE)</f>
        <v>3.8E-3</v>
      </c>
      <c r="K227" s="121">
        <f>VLOOKUP(C228,Data!$F:$I,4,FALSE)</f>
        <v>1.06E-2</v>
      </c>
      <c r="L227" s="117"/>
      <c r="M227" s="37"/>
      <c r="N227" s="19">
        <f>N221+L227</f>
        <v>0</v>
      </c>
      <c r="O227" s="121" t="s">
        <v>53</v>
      </c>
      <c r="P227" s="121" t="s">
        <v>54</v>
      </c>
      <c r="Q227" s="122"/>
      <c r="R227" s="37"/>
      <c r="S227" s="37"/>
    </row>
    <row r="228" spans="1:19" x14ac:dyDescent="0.25">
      <c r="A228" s="17"/>
      <c r="B228" s="70" t="s">
        <v>6</v>
      </c>
      <c r="C228" s="70">
        <f>C222+1</f>
        <v>2063</v>
      </c>
      <c r="D228" s="70" t="s">
        <v>5</v>
      </c>
      <c r="E228" s="70" t="s">
        <v>9</v>
      </c>
      <c r="F228" s="70" t="s">
        <v>7</v>
      </c>
      <c r="G228" s="70" t="s">
        <v>1</v>
      </c>
      <c r="H228" s="70" t="s">
        <v>0</v>
      </c>
      <c r="I228" s="70" t="s">
        <v>5</v>
      </c>
      <c r="J228" s="70" t="s">
        <v>3</v>
      </c>
      <c r="K228" s="70" t="s">
        <v>2</v>
      </c>
      <c r="L228" s="70" t="s">
        <v>4</v>
      </c>
      <c r="M228" s="70" t="s">
        <v>13</v>
      </c>
      <c r="N228" s="20"/>
      <c r="O228" s="70" t="s">
        <v>26</v>
      </c>
      <c r="P228" s="70" t="s">
        <v>26</v>
      </c>
      <c r="Q228" s="70" t="s">
        <v>27</v>
      </c>
      <c r="R228" s="70" t="s">
        <v>28</v>
      </c>
      <c r="S228" s="70" t="s">
        <v>29</v>
      </c>
    </row>
    <row r="229" spans="1:19" ht="12.5" x14ac:dyDescent="0.25">
      <c r="A229" s="17" t="str">
        <f>B229&amp;$B$227</f>
        <v>Cap Con on Completion Type 136</v>
      </c>
      <c r="B229" s="83" t="str">
        <f>B223</f>
        <v>Cap Con on Completion Type 1</v>
      </c>
      <c r="C229" s="113">
        <f>C223+1</f>
        <v>35.5</v>
      </c>
      <c r="D229" s="115">
        <f>D223</f>
        <v>40</v>
      </c>
      <c r="E229" s="81">
        <f>E223*SUM(VLOOKUP(SUM($C$10+B221),Data!$F:$G,2,FALSE))</f>
        <v>151003706.21597594</v>
      </c>
      <c r="F229" s="81">
        <f>E229</f>
        <v>151003706.21597594</v>
      </c>
      <c r="G229" s="81">
        <f>IF($C$13="Yes",0,IF(C229&gt;D229,0,E229*(D229-C229)/D229))</f>
        <v>0</v>
      </c>
      <c r="H229" s="82">
        <f>IF(C229&gt;D229,0,G229*H227)</f>
        <v>0</v>
      </c>
      <c r="I229" s="130">
        <f>IF($C$13="Yes",0,IF(C229&gt;D229,0,E229*1/D229))</f>
        <v>0</v>
      </c>
      <c r="J229" s="82">
        <f>E229*J227</f>
        <v>573814.08362070855</v>
      </c>
      <c r="K229" s="82">
        <f>E229*K227</f>
        <v>1600639.285889345</v>
      </c>
      <c r="L229" s="82">
        <f t="shared" ref="L229:L230" si="104">SUM(H229:K229)</f>
        <v>2174453.3695100537</v>
      </c>
      <c r="M229" s="82">
        <f>L229+L230</f>
        <v>2174453.3695100537</v>
      </c>
      <c r="N229" s="19">
        <f>N223+L229</f>
        <v>31969789.381869946</v>
      </c>
      <c r="O229" s="82">
        <f>SUM(R229:S230)</f>
        <v>2174453.3695100537</v>
      </c>
      <c r="P229" s="82">
        <f>SUM(S229:S230)/2+SUM(R229:R230)</f>
        <v>1087226.6847550268</v>
      </c>
      <c r="Q229" s="123">
        <f>C229+0.5</f>
        <v>36</v>
      </c>
      <c r="R229" s="189">
        <f>IF($C$13="Yes",0,IF(Q229&gt;D229,0,E229*(D229-Q229)/D229))</f>
        <v>0</v>
      </c>
      <c r="S229" s="82">
        <f>L229</f>
        <v>2174453.3695100537</v>
      </c>
    </row>
    <row r="230" spans="1:19" ht="12.5" x14ac:dyDescent="0.25">
      <c r="A230" s="17" t="str">
        <f>B230&amp;$B$227</f>
        <v>Cap Con on Completion Type 136</v>
      </c>
      <c r="B230" s="84" t="str">
        <f>B224</f>
        <v>Cap Con on Completion Type 1</v>
      </c>
      <c r="C230" s="114">
        <f>C224+1</f>
        <v>35.5</v>
      </c>
      <c r="D230" s="116">
        <f>D224</f>
        <v>0</v>
      </c>
      <c r="E230" s="78">
        <f>E224*SUM(VLOOKUP(SUM($C$10+B221),Data!$F:$G,2,FALSE))</f>
        <v>0</v>
      </c>
      <c r="F230" s="78">
        <f t="shared" ref="F230" si="105">E230</f>
        <v>0</v>
      </c>
      <c r="G230" s="78">
        <f>IF($C$13="Yes",0,IF(C230&gt;D230,0,E230*(D230-C230)/D230))</f>
        <v>0</v>
      </c>
      <c r="H230" s="79">
        <f>IF(C230&gt;D230,0,G230*H227)</f>
        <v>0</v>
      </c>
      <c r="I230" s="131">
        <f>IF($C$13="Yes",0,IF(C230&gt;D230,0,E230*1/D230))</f>
        <v>0</v>
      </c>
      <c r="J230" s="79">
        <f>E230*J227</f>
        <v>0</v>
      </c>
      <c r="K230" s="79">
        <f>E230*K227</f>
        <v>0</v>
      </c>
      <c r="L230" s="79">
        <f t="shared" si="104"/>
        <v>0</v>
      </c>
      <c r="M230" s="79"/>
      <c r="N230" s="19">
        <f>N224+L230</f>
        <v>0</v>
      </c>
      <c r="O230" s="79"/>
      <c r="P230" s="79"/>
      <c r="Q230" s="124">
        <f>C230+0.5</f>
        <v>36</v>
      </c>
      <c r="R230" s="190">
        <f>IF($C$13="Yes",0,IF(Q230&gt;D230,0,E230*(D230-Q230)/D230))</f>
        <v>0</v>
      </c>
      <c r="S230" s="79">
        <f t="shared" ref="S230" si="106">L230</f>
        <v>0</v>
      </c>
    </row>
    <row r="231" spans="1:19" ht="12.5" x14ac:dyDescent="0.25">
      <c r="A231" s="17"/>
      <c r="B231" s="134"/>
      <c r="C231" s="135"/>
      <c r="D231" s="136"/>
      <c r="E231" s="137"/>
      <c r="F231" s="137"/>
      <c r="G231" s="137"/>
      <c r="H231" s="38"/>
      <c r="I231" s="38"/>
      <c r="J231" s="38"/>
      <c r="K231" s="38"/>
      <c r="L231" s="38"/>
      <c r="M231" s="38"/>
      <c r="O231" s="38"/>
      <c r="P231" s="38"/>
      <c r="Q231" s="138"/>
      <c r="R231" s="38"/>
      <c r="S231" s="38"/>
    </row>
    <row r="232" spans="1:19" ht="23" x14ac:dyDescent="0.25">
      <c r="A232" s="19"/>
      <c r="B232" s="2"/>
      <c r="C232" s="37"/>
      <c r="D232" s="117"/>
      <c r="E232" s="117"/>
      <c r="F232" s="117"/>
      <c r="G232" s="117"/>
      <c r="H232" s="118" t="s">
        <v>12</v>
      </c>
      <c r="I232" s="119"/>
      <c r="J232" s="118" t="s">
        <v>11</v>
      </c>
      <c r="K232" s="118" t="s">
        <v>10</v>
      </c>
      <c r="L232" s="119"/>
      <c r="M232" s="40"/>
      <c r="N232" s="19">
        <f>N226+L232</f>
        <v>0</v>
      </c>
      <c r="O232" s="36"/>
      <c r="P232" s="36"/>
      <c r="Q232" s="37"/>
      <c r="R232" s="37"/>
      <c r="S232" s="37"/>
    </row>
    <row r="233" spans="1:19" ht="15.5" x14ac:dyDescent="0.25">
      <c r="A233" s="93" t="s">
        <v>8</v>
      </c>
      <c r="B233" s="111">
        <f>B227+1</f>
        <v>37</v>
      </c>
      <c r="C233" s="37"/>
      <c r="D233" s="117"/>
      <c r="E233" s="251"/>
      <c r="F233" s="251"/>
      <c r="G233" s="120"/>
      <c r="H233" s="121">
        <f>IF($C$13="Yes",0,IF(SUM($C$10+B233)&lt;=2020,"6%",VLOOKUP($C$6&amp;SUM($C$10+B233),Data!$C:$D,2,FALSE)))</f>
        <v>0</v>
      </c>
      <c r="I233" s="117"/>
      <c r="J233" s="121">
        <f>VLOOKUP(C234,Data!$F:$I,3,FALSE)</f>
        <v>3.8E-3</v>
      </c>
      <c r="K233" s="121">
        <f>VLOOKUP(C234,Data!$F:$I,4,FALSE)</f>
        <v>1.06E-2</v>
      </c>
      <c r="L233" s="117"/>
      <c r="M233" s="37"/>
      <c r="N233" s="19">
        <f>N227+L233</f>
        <v>0</v>
      </c>
      <c r="O233" s="121" t="s">
        <v>53</v>
      </c>
      <c r="P233" s="121" t="s">
        <v>54</v>
      </c>
      <c r="Q233" s="122"/>
      <c r="R233" s="37"/>
      <c r="S233" s="37"/>
    </row>
    <row r="234" spans="1:19" x14ac:dyDescent="0.25">
      <c r="A234" s="17"/>
      <c r="B234" s="70" t="s">
        <v>6</v>
      </c>
      <c r="C234" s="70">
        <f>C228+1</f>
        <v>2064</v>
      </c>
      <c r="D234" s="70" t="s">
        <v>5</v>
      </c>
      <c r="E234" s="70" t="s">
        <v>9</v>
      </c>
      <c r="F234" s="70" t="s">
        <v>7</v>
      </c>
      <c r="G234" s="70" t="s">
        <v>1</v>
      </c>
      <c r="H234" s="70" t="s">
        <v>0</v>
      </c>
      <c r="I234" s="70" t="s">
        <v>5</v>
      </c>
      <c r="J234" s="70" t="s">
        <v>3</v>
      </c>
      <c r="K234" s="70" t="s">
        <v>2</v>
      </c>
      <c r="L234" s="70" t="s">
        <v>4</v>
      </c>
      <c r="M234" s="70" t="s">
        <v>13</v>
      </c>
      <c r="N234" s="20"/>
      <c r="O234" s="70" t="s">
        <v>26</v>
      </c>
      <c r="P234" s="70" t="s">
        <v>26</v>
      </c>
      <c r="Q234" s="70" t="s">
        <v>27</v>
      </c>
      <c r="R234" s="70" t="s">
        <v>28</v>
      </c>
      <c r="S234" s="70" t="s">
        <v>29</v>
      </c>
    </row>
    <row r="235" spans="1:19" ht="12.5" x14ac:dyDescent="0.25">
      <c r="A235" s="17" t="str">
        <f>B235&amp;$B$233</f>
        <v>Cap Con on Completion Type 137</v>
      </c>
      <c r="B235" s="83" t="str">
        <f>B229</f>
        <v>Cap Con on Completion Type 1</v>
      </c>
      <c r="C235" s="113">
        <f>C229+1</f>
        <v>36.5</v>
      </c>
      <c r="D235" s="115">
        <f>D229</f>
        <v>40</v>
      </c>
      <c r="E235" s="81">
        <f>E229*SUM(VLOOKUP(SUM($C$10+B227),Data!$F:$G,2,FALSE))</f>
        <v>160803846.74939278</v>
      </c>
      <c r="F235" s="81">
        <f>E235</f>
        <v>160803846.74939278</v>
      </c>
      <c r="G235" s="81">
        <f>IF($C$13="Yes",0,IF(C235&gt;D235,0,E235*(D235-C235)/D235))</f>
        <v>0</v>
      </c>
      <c r="H235" s="82">
        <f>IF(C235&gt;D235,0,G235*H233)</f>
        <v>0</v>
      </c>
      <c r="I235" s="130">
        <f>IF($C$13="Yes",0,IF(C235&gt;D235,0,E235*1/D235))</f>
        <v>0</v>
      </c>
      <c r="J235" s="82">
        <f>E235*J233</f>
        <v>611054.61764769256</v>
      </c>
      <c r="K235" s="82">
        <f>E235*K233</f>
        <v>1704520.7755435635</v>
      </c>
      <c r="L235" s="82">
        <f t="shared" ref="L235:L236" si="107">SUM(H235:K235)</f>
        <v>2315575.3931912561</v>
      </c>
      <c r="M235" s="82">
        <f>L235+L236</f>
        <v>2315575.3931912561</v>
      </c>
      <c r="N235" s="19">
        <f>N229+L235</f>
        <v>34285364.775061205</v>
      </c>
      <c r="O235" s="82">
        <f>SUM(R235:S236)</f>
        <v>2315575.3931912561</v>
      </c>
      <c r="P235" s="82">
        <f>SUM(S235:S236)/2+SUM(R235:R236)</f>
        <v>1157787.696595628</v>
      </c>
      <c r="Q235" s="123">
        <f>C235+0.5</f>
        <v>37</v>
      </c>
      <c r="R235" s="189">
        <f>IF($C$13="Yes",0,IF(Q235&gt;D235,0,E235*(D235-Q235)/D235))</f>
        <v>0</v>
      </c>
      <c r="S235" s="82">
        <f>L235</f>
        <v>2315575.3931912561</v>
      </c>
    </row>
    <row r="236" spans="1:19" ht="12.5" x14ac:dyDescent="0.25">
      <c r="A236" s="17" t="str">
        <f>B236&amp;$B$233</f>
        <v>Cap Con on Completion Type 137</v>
      </c>
      <c r="B236" s="84" t="str">
        <f>B230</f>
        <v>Cap Con on Completion Type 1</v>
      </c>
      <c r="C236" s="114">
        <f>C230+1</f>
        <v>36.5</v>
      </c>
      <c r="D236" s="116">
        <f>D230</f>
        <v>0</v>
      </c>
      <c r="E236" s="78">
        <f>E230*SUM(VLOOKUP(SUM($C$10+B227),Data!$F:$G,2,FALSE))</f>
        <v>0</v>
      </c>
      <c r="F236" s="78">
        <f t="shared" ref="F236" si="108">E236</f>
        <v>0</v>
      </c>
      <c r="G236" s="78">
        <f>IF($C$13="Yes",0,IF(C236&gt;D236,0,E236*(D236-C236)/D236))</f>
        <v>0</v>
      </c>
      <c r="H236" s="79">
        <f>IF(C236&gt;D236,0,G236*H233)</f>
        <v>0</v>
      </c>
      <c r="I236" s="131">
        <f>IF($C$13="Yes",0,IF(C236&gt;D236,0,E236*1/D236))</f>
        <v>0</v>
      </c>
      <c r="J236" s="79">
        <f>E236*J233</f>
        <v>0</v>
      </c>
      <c r="K236" s="79">
        <f>E236*K233</f>
        <v>0</v>
      </c>
      <c r="L236" s="79">
        <f t="shared" si="107"/>
        <v>0</v>
      </c>
      <c r="M236" s="79"/>
      <c r="N236" s="19">
        <f>N230+L236</f>
        <v>0</v>
      </c>
      <c r="O236" s="79"/>
      <c r="P236" s="79"/>
      <c r="Q236" s="124">
        <f>C236+0.5</f>
        <v>37</v>
      </c>
      <c r="R236" s="190">
        <f>IF($C$13="Yes",0,IF(Q236&gt;D236,0,E236*(D236-Q236)/D236))</f>
        <v>0</v>
      </c>
      <c r="S236" s="79">
        <f t="shared" ref="S236" si="109">L236</f>
        <v>0</v>
      </c>
    </row>
    <row r="237" spans="1:19" ht="12.5" x14ac:dyDescent="0.25">
      <c r="A237" s="17"/>
      <c r="B237" s="134"/>
      <c r="C237" s="135"/>
      <c r="D237" s="136"/>
      <c r="E237" s="137"/>
      <c r="F237" s="137"/>
      <c r="G237" s="137"/>
      <c r="H237" s="38"/>
      <c r="I237" s="38"/>
      <c r="J237" s="38"/>
      <c r="K237" s="38"/>
      <c r="L237" s="38"/>
      <c r="M237" s="38"/>
      <c r="O237" s="38"/>
      <c r="P237" s="38"/>
      <c r="Q237" s="138"/>
      <c r="R237" s="38"/>
      <c r="S237" s="38"/>
    </row>
    <row r="238" spans="1:19" ht="23" x14ac:dyDescent="0.25">
      <c r="A238" s="19"/>
      <c r="B238" s="2"/>
      <c r="C238" s="37"/>
      <c r="D238" s="117"/>
      <c r="E238" s="117"/>
      <c r="F238" s="117"/>
      <c r="G238" s="117"/>
      <c r="H238" s="118" t="s">
        <v>12</v>
      </c>
      <c r="I238" s="119"/>
      <c r="J238" s="118" t="s">
        <v>11</v>
      </c>
      <c r="K238" s="118" t="s">
        <v>10</v>
      </c>
      <c r="L238" s="119"/>
      <c r="M238" s="40"/>
      <c r="N238" s="19">
        <f>N232+L238</f>
        <v>0</v>
      </c>
      <c r="O238" s="36"/>
      <c r="P238" s="36"/>
      <c r="Q238" s="37"/>
      <c r="R238" s="37"/>
      <c r="S238" s="37"/>
    </row>
    <row r="239" spans="1:19" ht="15.5" x14ac:dyDescent="0.25">
      <c r="A239" s="93" t="s">
        <v>8</v>
      </c>
      <c r="B239" s="111">
        <f>B233+1</f>
        <v>38</v>
      </c>
      <c r="C239" s="37"/>
      <c r="D239" s="117"/>
      <c r="E239" s="251"/>
      <c r="F239" s="251"/>
      <c r="G239" s="120"/>
      <c r="H239" s="121">
        <f>IF($C$13="Yes",0,IF(SUM($C$10+B239)&lt;=2020,"6%",VLOOKUP($C$6&amp;SUM($C$10+B239),Data!$C:$D,2,FALSE)))</f>
        <v>0</v>
      </c>
      <c r="I239" s="117"/>
      <c r="J239" s="121">
        <f>VLOOKUP(C240,Data!$F:$I,3,FALSE)</f>
        <v>3.8E-3</v>
      </c>
      <c r="K239" s="121">
        <f>VLOOKUP(C240,Data!$F:$I,4,FALSE)</f>
        <v>1.06E-2</v>
      </c>
      <c r="L239" s="117"/>
      <c r="M239" s="37"/>
      <c r="N239" s="19">
        <f>N233+L239</f>
        <v>0</v>
      </c>
      <c r="O239" s="121" t="s">
        <v>53</v>
      </c>
      <c r="P239" s="121" t="s">
        <v>54</v>
      </c>
      <c r="Q239" s="122"/>
      <c r="R239" s="37"/>
      <c r="S239" s="37"/>
    </row>
    <row r="240" spans="1:19" x14ac:dyDescent="0.25">
      <c r="A240" s="17"/>
      <c r="B240" s="70" t="s">
        <v>6</v>
      </c>
      <c r="C240" s="70">
        <f>C234+1</f>
        <v>2065</v>
      </c>
      <c r="D240" s="70" t="s">
        <v>5</v>
      </c>
      <c r="E240" s="70" t="s">
        <v>9</v>
      </c>
      <c r="F240" s="70" t="s">
        <v>7</v>
      </c>
      <c r="G240" s="70" t="s">
        <v>1</v>
      </c>
      <c r="H240" s="70" t="s">
        <v>0</v>
      </c>
      <c r="I240" s="70" t="s">
        <v>5</v>
      </c>
      <c r="J240" s="70" t="s">
        <v>3</v>
      </c>
      <c r="K240" s="70" t="s">
        <v>2</v>
      </c>
      <c r="L240" s="70" t="s">
        <v>4</v>
      </c>
      <c r="M240" s="70" t="s">
        <v>13</v>
      </c>
      <c r="N240" s="20"/>
      <c r="O240" s="70" t="s">
        <v>26</v>
      </c>
      <c r="P240" s="70" t="s">
        <v>26</v>
      </c>
      <c r="Q240" s="70" t="s">
        <v>27</v>
      </c>
      <c r="R240" s="70" t="s">
        <v>28</v>
      </c>
      <c r="S240" s="70" t="s">
        <v>29</v>
      </c>
    </row>
    <row r="241" spans="1:19" ht="12.5" x14ac:dyDescent="0.25">
      <c r="A241" s="17" t="str">
        <f>B241&amp;$B$239</f>
        <v>Cap Con on Completion Type 138</v>
      </c>
      <c r="B241" s="83" t="str">
        <f>B235</f>
        <v>Cap Con on Completion Type 1</v>
      </c>
      <c r="C241" s="113">
        <f>C235+1</f>
        <v>37.5</v>
      </c>
      <c r="D241" s="115">
        <f>D235</f>
        <v>40</v>
      </c>
      <c r="E241" s="81">
        <f>E235*SUM(VLOOKUP(SUM($C$10+B233),Data!$F:$G,2,FALSE))</f>
        <v>171240016.40342838</v>
      </c>
      <c r="F241" s="81">
        <f>E241</f>
        <v>171240016.40342838</v>
      </c>
      <c r="G241" s="81">
        <f>IF($C$13="Yes",0,IF(C241&gt;D241,0,E241*(D241-C241)/D241))</f>
        <v>0</v>
      </c>
      <c r="H241" s="82">
        <f>IF(C241&gt;D241,0,G241*H239)</f>
        <v>0</v>
      </c>
      <c r="I241" s="130">
        <f>IF($C$13="Yes",0,IF(C241&gt;D241,0,E241*1/D241))</f>
        <v>0</v>
      </c>
      <c r="J241" s="82">
        <f>E241*J239</f>
        <v>650712.06233302783</v>
      </c>
      <c r="K241" s="82">
        <f>E241*K239</f>
        <v>1815144.1738763407</v>
      </c>
      <c r="L241" s="82">
        <f t="shared" ref="L241:L242" si="110">SUM(H241:K241)</f>
        <v>2465856.2362093683</v>
      </c>
      <c r="M241" s="82">
        <f>L241+L242</f>
        <v>2465856.2362093683</v>
      </c>
      <c r="N241" s="19">
        <f>N235+L241</f>
        <v>36751221.011270575</v>
      </c>
      <c r="O241" s="82">
        <f>SUM(R241:S242)</f>
        <v>2465856.2362093683</v>
      </c>
      <c r="P241" s="82">
        <f>SUM(S241:S242)/2+SUM(R241:R242)</f>
        <v>1232928.1181046842</v>
      </c>
      <c r="Q241" s="123">
        <f>C241+0.5</f>
        <v>38</v>
      </c>
      <c r="R241" s="189">
        <f>IF($C$13="Yes",0,IF(Q241&gt;D241,0,E241*(D241-Q241)/D241))</f>
        <v>0</v>
      </c>
      <c r="S241" s="82">
        <f>L241</f>
        <v>2465856.2362093683</v>
      </c>
    </row>
    <row r="242" spans="1:19" ht="12.5" x14ac:dyDescent="0.25">
      <c r="A242" s="17" t="str">
        <f>B242&amp;$B$239</f>
        <v>Cap Con on Completion Type 138</v>
      </c>
      <c r="B242" s="84" t="str">
        <f>B236</f>
        <v>Cap Con on Completion Type 1</v>
      </c>
      <c r="C242" s="114">
        <f>C236+1</f>
        <v>37.5</v>
      </c>
      <c r="D242" s="116">
        <f>D236</f>
        <v>0</v>
      </c>
      <c r="E242" s="78">
        <f>E236*SUM(VLOOKUP(SUM($C$10+B233),Data!$F:$G,2,FALSE))</f>
        <v>0</v>
      </c>
      <c r="F242" s="78">
        <f t="shared" ref="F242" si="111">E242</f>
        <v>0</v>
      </c>
      <c r="G242" s="78">
        <f>IF($C$13="Yes",0,IF(C242&gt;D242,0,E242*(D242-C242)/D242))</f>
        <v>0</v>
      </c>
      <c r="H242" s="79">
        <f>IF(C242&gt;D242,0,G242*H239)</f>
        <v>0</v>
      </c>
      <c r="I242" s="131">
        <f>IF($C$13="Yes",0,IF(C242&gt;D242,0,E242*1/D242))</f>
        <v>0</v>
      </c>
      <c r="J242" s="79">
        <f>E242*J239</f>
        <v>0</v>
      </c>
      <c r="K242" s="79">
        <f>E242*K239</f>
        <v>0</v>
      </c>
      <c r="L242" s="79">
        <f t="shared" si="110"/>
        <v>0</v>
      </c>
      <c r="M242" s="79"/>
      <c r="N242" s="19">
        <f>N236+L242</f>
        <v>0</v>
      </c>
      <c r="O242" s="79"/>
      <c r="P242" s="79"/>
      <c r="Q242" s="124">
        <f>C242+0.5</f>
        <v>38</v>
      </c>
      <c r="R242" s="190">
        <f>IF($C$13="Yes",0,IF(Q242&gt;D242,0,E242*(D242-Q242)/D242))</f>
        <v>0</v>
      </c>
      <c r="S242" s="79">
        <f t="shared" ref="S242" si="112">L242</f>
        <v>0</v>
      </c>
    </row>
    <row r="243" spans="1:19" ht="12.5" x14ac:dyDescent="0.25">
      <c r="A243" s="17"/>
      <c r="B243" s="134"/>
      <c r="C243" s="135"/>
      <c r="D243" s="136"/>
      <c r="E243" s="137"/>
      <c r="F243" s="137"/>
      <c r="G243" s="137"/>
      <c r="H243" s="38"/>
      <c r="I243" s="38"/>
      <c r="J243" s="38"/>
      <c r="K243" s="38"/>
      <c r="L243" s="38"/>
      <c r="M243" s="38"/>
      <c r="O243" s="38"/>
      <c r="P243" s="38"/>
      <c r="Q243" s="138"/>
      <c r="R243" s="38"/>
      <c r="S243" s="38"/>
    </row>
    <row r="244" spans="1:19" ht="23" x14ac:dyDescent="0.25">
      <c r="A244" s="19"/>
      <c r="B244" s="2"/>
      <c r="C244" s="37"/>
      <c r="D244" s="117"/>
      <c r="E244" s="117"/>
      <c r="F244" s="117"/>
      <c r="G244" s="117"/>
      <c r="H244" s="118" t="s">
        <v>12</v>
      </c>
      <c r="I244" s="119"/>
      <c r="J244" s="118" t="s">
        <v>11</v>
      </c>
      <c r="K244" s="118" t="s">
        <v>10</v>
      </c>
      <c r="L244" s="119"/>
      <c r="M244" s="40"/>
      <c r="N244" s="19">
        <f>N238+L244</f>
        <v>0</v>
      </c>
      <c r="O244" s="36"/>
      <c r="P244" s="36"/>
      <c r="Q244" s="37"/>
      <c r="R244" s="37"/>
      <c r="S244" s="37"/>
    </row>
    <row r="245" spans="1:19" ht="15.5" x14ac:dyDescent="0.25">
      <c r="A245" s="93" t="s">
        <v>8</v>
      </c>
      <c r="B245" s="111">
        <f>B239+1</f>
        <v>39</v>
      </c>
      <c r="C245" s="37"/>
      <c r="D245" s="117"/>
      <c r="E245" s="251"/>
      <c r="F245" s="251"/>
      <c r="G245" s="120"/>
      <c r="H245" s="121">
        <f>IF($C$13="Yes",0,IF(SUM($C$10+B245)&lt;=2020,"6%",VLOOKUP($C$6&amp;SUM($C$10+B245),Data!$C:$D,2,FALSE)))</f>
        <v>0</v>
      </c>
      <c r="I245" s="117"/>
      <c r="J245" s="121">
        <f>VLOOKUP(C246,Data!$F:$I,3,FALSE)</f>
        <v>3.8E-3</v>
      </c>
      <c r="K245" s="121">
        <f>VLOOKUP(C246,Data!$F:$I,4,FALSE)</f>
        <v>1.06E-2</v>
      </c>
      <c r="L245" s="117"/>
      <c r="M245" s="37"/>
      <c r="N245" s="19">
        <f>N239+L245</f>
        <v>0</v>
      </c>
      <c r="O245" s="121" t="s">
        <v>53</v>
      </c>
      <c r="P245" s="121" t="s">
        <v>54</v>
      </c>
      <c r="Q245" s="122"/>
      <c r="R245" s="37"/>
      <c r="S245" s="37"/>
    </row>
    <row r="246" spans="1:19" x14ac:dyDescent="0.25">
      <c r="A246" s="17"/>
      <c r="B246" s="70" t="s">
        <v>6</v>
      </c>
      <c r="C246" s="70">
        <f>C240+1</f>
        <v>2066</v>
      </c>
      <c r="D246" s="70" t="s">
        <v>5</v>
      </c>
      <c r="E246" s="70" t="s">
        <v>9</v>
      </c>
      <c r="F246" s="70" t="s">
        <v>7</v>
      </c>
      <c r="G246" s="70" t="s">
        <v>1</v>
      </c>
      <c r="H246" s="70" t="s">
        <v>0</v>
      </c>
      <c r="I246" s="70" t="s">
        <v>5</v>
      </c>
      <c r="J246" s="70" t="s">
        <v>3</v>
      </c>
      <c r="K246" s="70" t="s">
        <v>2</v>
      </c>
      <c r="L246" s="70" t="s">
        <v>4</v>
      </c>
      <c r="M246" s="70" t="s">
        <v>13</v>
      </c>
      <c r="N246" s="20"/>
      <c r="O246" s="70" t="s">
        <v>26</v>
      </c>
      <c r="P246" s="70" t="s">
        <v>26</v>
      </c>
      <c r="Q246" s="70" t="s">
        <v>27</v>
      </c>
      <c r="R246" s="70" t="s">
        <v>28</v>
      </c>
      <c r="S246" s="70" t="s">
        <v>29</v>
      </c>
    </row>
    <row r="247" spans="1:19" ht="12.5" x14ac:dyDescent="0.25">
      <c r="A247" s="17" t="str">
        <f>B247&amp;$B$245</f>
        <v>Cap Con on Completion Type 139</v>
      </c>
      <c r="B247" s="83" t="str">
        <f>B241</f>
        <v>Cap Con on Completion Type 1</v>
      </c>
      <c r="C247" s="113">
        <f>C241+1</f>
        <v>38.5</v>
      </c>
      <c r="D247" s="115">
        <f>D241</f>
        <v>40</v>
      </c>
      <c r="E247" s="81">
        <f>E241*SUM(VLOOKUP(SUM($C$10+B239),Data!$F:$G,2,FALSE))</f>
        <v>182353493.46801087</v>
      </c>
      <c r="F247" s="81">
        <f>E247</f>
        <v>182353493.46801087</v>
      </c>
      <c r="G247" s="81">
        <f>IF($C$13="Yes",0,IF(C247&gt;D247,0,E247*(D247-C247)/D247))</f>
        <v>0</v>
      </c>
      <c r="H247" s="82">
        <f>IF(C247&gt;D247,0,G247*H245)</f>
        <v>0</v>
      </c>
      <c r="I247" s="130">
        <f>IF($C$13="Yes",0,IF(C247&gt;D247,0,E247*1/D247))</f>
        <v>0</v>
      </c>
      <c r="J247" s="82">
        <f>E247*J245</f>
        <v>692943.27517844131</v>
      </c>
      <c r="K247" s="82">
        <f>E247*K245</f>
        <v>1932947.0307609153</v>
      </c>
      <c r="L247" s="82">
        <f t="shared" ref="L247:L248" si="113">SUM(H247:K247)</f>
        <v>2625890.3059393568</v>
      </c>
      <c r="M247" s="82">
        <f>L247+L248</f>
        <v>2625890.3059393568</v>
      </c>
      <c r="N247" s="19">
        <f>N241+L247</f>
        <v>39377111.317209929</v>
      </c>
      <c r="O247" s="82">
        <f>SUM(R247:S248)</f>
        <v>2625890.3059393568</v>
      </c>
      <c r="P247" s="82">
        <f>SUM(S247:S248)/2+SUM(R247:R248)</f>
        <v>1312945.1529696784</v>
      </c>
      <c r="Q247" s="123">
        <f>C247+0.5</f>
        <v>39</v>
      </c>
      <c r="R247" s="189">
        <f>IF($C$13="Yes",0,IF(Q247&gt;D247,0,E247*(D247-Q247)/D247))</f>
        <v>0</v>
      </c>
      <c r="S247" s="82">
        <f>L247</f>
        <v>2625890.3059393568</v>
      </c>
    </row>
    <row r="248" spans="1:19" ht="12.5" x14ac:dyDescent="0.25">
      <c r="A248" s="17" t="str">
        <f>B248&amp;$B$245</f>
        <v>Cap Con on Completion Type 139</v>
      </c>
      <c r="B248" s="84" t="str">
        <f>B242</f>
        <v>Cap Con on Completion Type 1</v>
      </c>
      <c r="C248" s="114">
        <f>C242+1</f>
        <v>38.5</v>
      </c>
      <c r="D248" s="116">
        <f>D242</f>
        <v>0</v>
      </c>
      <c r="E248" s="78">
        <f>E242*SUM(VLOOKUP(SUM($C$10+B239),Data!$F:$G,2,FALSE))</f>
        <v>0</v>
      </c>
      <c r="F248" s="78">
        <f t="shared" ref="F248" si="114">E248</f>
        <v>0</v>
      </c>
      <c r="G248" s="78">
        <f>IF($C$13="Yes",0,IF(C248&gt;D248,0,E248*(D248-C248)/D248))</f>
        <v>0</v>
      </c>
      <c r="H248" s="79">
        <f>IF(C248&gt;D248,0,G248*H245)</f>
        <v>0</v>
      </c>
      <c r="I248" s="131">
        <f>IF($C$13="Yes",0,IF(C248&gt;D248,0,E248*1/D248))</f>
        <v>0</v>
      </c>
      <c r="J248" s="79">
        <f>E248*J245</f>
        <v>0</v>
      </c>
      <c r="K248" s="79">
        <f>E248*K245</f>
        <v>0</v>
      </c>
      <c r="L248" s="79">
        <f t="shared" si="113"/>
        <v>0</v>
      </c>
      <c r="M248" s="79"/>
      <c r="N248" s="19">
        <f>N242+L248</f>
        <v>0</v>
      </c>
      <c r="O248" s="79"/>
      <c r="P248" s="79"/>
      <c r="Q248" s="124">
        <f>C248+0.5</f>
        <v>39</v>
      </c>
      <c r="R248" s="190">
        <f>IF($C$13="Yes",0,IF(Q248&gt;D248,0,E248*(D248-Q248)/D248))</f>
        <v>0</v>
      </c>
      <c r="S248" s="79">
        <f t="shared" ref="S248" si="115">L248</f>
        <v>0</v>
      </c>
    </row>
    <row r="249" spans="1:19" ht="12.5" x14ac:dyDescent="0.25">
      <c r="A249" s="17"/>
      <c r="B249" s="134"/>
      <c r="C249" s="135"/>
      <c r="D249" s="136"/>
      <c r="E249" s="137"/>
      <c r="F249" s="137"/>
      <c r="G249" s="137"/>
      <c r="H249" s="38"/>
      <c r="I249" s="38"/>
      <c r="J249" s="38"/>
      <c r="K249" s="38"/>
      <c r="L249" s="38"/>
      <c r="M249" s="38"/>
      <c r="O249" s="38"/>
      <c r="P249" s="38"/>
      <c r="Q249" s="138"/>
      <c r="R249" s="38"/>
      <c r="S249" s="38"/>
    </row>
    <row r="250" spans="1:19" ht="23" x14ac:dyDescent="0.25">
      <c r="A250" s="19"/>
      <c r="B250" s="2"/>
      <c r="C250" s="37"/>
      <c r="D250" s="117"/>
      <c r="E250" s="117"/>
      <c r="F250" s="117"/>
      <c r="G250" s="117"/>
      <c r="H250" s="118" t="s">
        <v>12</v>
      </c>
      <c r="I250" s="119"/>
      <c r="J250" s="118" t="s">
        <v>11</v>
      </c>
      <c r="K250" s="118" t="s">
        <v>10</v>
      </c>
      <c r="L250" s="119"/>
      <c r="M250" s="40"/>
      <c r="N250" s="19">
        <f>N244+L250</f>
        <v>0</v>
      </c>
      <c r="O250" s="36"/>
      <c r="P250" s="36"/>
      <c r="Q250" s="37"/>
      <c r="R250" s="37"/>
      <c r="S250" s="37"/>
    </row>
    <row r="251" spans="1:19" ht="15.5" x14ac:dyDescent="0.25">
      <c r="A251" s="93" t="s">
        <v>8</v>
      </c>
      <c r="B251" s="111">
        <f>B245+1</f>
        <v>40</v>
      </c>
      <c r="C251" s="37"/>
      <c r="D251" s="117"/>
      <c r="E251" s="251"/>
      <c r="F251" s="251"/>
      <c r="G251" s="120"/>
      <c r="H251" s="121">
        <f>IF($C$13="Yes",0,IF(SUM($C$10+B251)&lt;=2020,"6%",VLOOKUP($C$6&amp;SUM($C$10+B251),Data!$C:$D,2,FALSE)))</f>
        <v>0</v>
      </c>
      <c r="I251" s="117"/>
      <c r="J251" s="121">
        <f>VLOOKUP(C252,Data!$F:$I,3,FALSE)</f>
        <v>3.8E-3</v>
      </c>
      <c r="K251" s="121">
        <f>VLOOKUP(C252,Data!$F:$I,4,FALSE)</f>
        <v>1.06E-2</v>
      </c>
      <c r="L251" s="117"/>
      <c r="M251" s="37"/>
      <c r="N251" s="19">
        <f>N245+L251</f>
        <v>0</v>
      </c>
      <c r="O251" s="121" t="s">
        <v>53</v>
      </c>
      <c r="P251" s="121" t="s">
        <v>54</v>
      </c>
      <c r="Q251" s="122"/>
      <c r="R251" s="37"/>
      <c r="S251" s="37"/>
    </row>
    <row r="252" spans="1:19" x14ac:dyDescent="0.25">
      <c r="A252" s="17"/>
      <c r="B252" s="70" t="s">
        <v>6</v>
      </c>
      <c r="C252" s="70">
        <f>C246+1</f>
        <v>2067</v>
      </c>
      <c r="D252" s="70" t="s">
        <v>5</v>
      </c>
      <c r="E252" s="70" t="s">
        <v>9</v>
      </c>
      <c r="F252" s="70" t="s">
        <v>7</v>
      </c>
      <c r="G252" s="70" t="s">
        <v>1</v>
      </c>
      <c r="H252" s="70" t="s">
        <v>0</v>
      </c>
      <c r="I252" s="70" t="s">
        <v>5</v>
      </c>
      <c r="J252" s="70" t="s">
        <v>3</v>
      </c>
      <c r="K252" s="70" t="s">
        <v>2</v>
      </c>
      <c r="L252" s="70" t="s">
        <v>4</v>
      </c>
      <c r="M252" s="70" t="s">
        <v>13</v>
      </c>
      <c r="N252" s="20"/>
      <c r="O252" s="70" t="s">
        <v>26</v>
      </c>
      <c r="P252" s="70" t="s">
        <v>26</v>
      </c>
      <c r="Q252" s="70" t="s">
        <v>27</v>
      </c>
      <c r="R252" s="70" t="s">
        <v>28</v>
      </c>
      <c r="S252" s="70" t="s">
        <v>29</v>
      </c>
    </row>
    <row r="253" spans="1:19" ht="12.5" x14ac:dyDescent="0.25">
      <c r="A253" s="17" t="str">
        <f>B253&amp;$B$251</f>
        <v>Cap Con on Completion Type 140</v>
      </c>
      <c r="B253" s="83" t="str">
        <f>B247</f>
        <v>Cap Con on Completion Type 1</v>
      </c>
      <c r="C253" s="113">
        <f>C247+1</f>
        <v>39.5</v>
      </c>
      <c r="D253" s="115">
        <f>D247</f>
        <v>40</v>
      </c>
      <c r="E253" s="81">
        <f>E247*SUM(VLOOKUP(SUM($C$10+B245),Data!$F:$G,2,FALSE))</f>
        <v>194188235.19408476</v>
      </c>
      <c r="F253" s="81">
        <f>E253</f>
        <v>194188235.19408476</v>
      </c>
      <c r="G253" s="81">
        <f>IF($C$13="Yes",0,IF(C253&gt;D253,0,E253*(D253-C253)/D253))</f>
        <v>0</v>
      </c>
      <c r="H253" s="82">
        <f>IF(C253&gt;D253,0,G253*H251)</f>
        <v>0</v>
      </c>
      <c r="I253" s="130">
        <f>IF($C$13="Yes",0,IF(C253&gt;D253,0,E253*1/D253))</f>
        <v>0</v>
      </c>
      <c r="J253" s="82">
        <f>E253*J251</f>
        <v>737915.29373752209</v>
      </c>
      <c r="K253" s="82">
        <f>E253*K251</f>
        <v>2058395.2930572985</v>
      </c>
      <c r="L253" s="82">
        <f t="shared" ref="L253:L254" si="116">SUM(H253:K253)</f>
        <v>2796310.5867948206</v>
      </c>
      <c r="M253" s="82">
        <f>L253+L254</f>
        <v>2796310.5867948206</v>
      </c>
      <c r="N253" s="19">
        <f>N247+L253</f>
        <v>42173421.904004753</v>
      </c>
      <c r="O253" s="82">
        <f>SUM(R253:S254)</f>
        <v>2796310.5867948206</v>
      </c>
      <c r="P253" s="82">
        <f>SUM(S253:S254)/2+SUM(R253:R254)</f>
        <v>1398155.2933974103</v>
      </c>
      <c r="Q253" s="123">
        <f>C253+0.5</f>
        <v>40</v>
      </c>
      <c r="R253" s="189">
        <f>IF($C$13="Yes",0,IF(Q253&gt;D253,0,E253*(D253-Q253)/D253))</f>
        <v>0</v>
      </c>
      <c r="S253" s="82">
        <f>L253</f>
        <v>2796310.5867948206</v>
      </c>
    </row>
    <row r="254" spans="1:19" ht="12.5" x14ac:dyDescent="0.25">
      <c r="A254" s="17" t="str">
        <f>B254&amp;$B$251</f>
        <v>Cap Con on Completion Type 140</v>
      </c>
      <c r="B254" s="84" t="str">
        <f>B248</f>
        <v>Cap Con on Completion Type 1</v>
      </c>
      <c r="C254" s="114">
        <f>C248+1</f>
        <v>39.5</v>
      </c>
      <c r="D254" s="116">
        <f>D248</f>
        <v>0</v>
      </c>
      <c r="E254" s="78">
        <f>E248*SUM(VLOOKUP(SUM($C$10+B245),Data!$F:$G,2,FALSE))</f>
        <v>0</v>
      </c>
      <c r="F254" s="78">
        <f t="shared" ref="F254" si="117">E254</f>
        <v>0</v>
      </c>
      <c r="G254" s="78">
        <f>IF($C$13="Yes",0,IF(C254&gt;D254,0,E254*(D254-C254)/D254))</f>
        <v>0</v>
      </c>
      <c r="H254" s="79">
        <f>IF(C254&gt;D254,0,G254*H251)</f>
        <v>0</v>
      </c>
      <c r="I254" s="131">
        <f>IF($C$13="Yes",0,IF(C254&gt;D254,0,E254*1/D254))</f>
        <v>0</v>
      </c>
      <c r="J254" s="79">
        <f>E254*J251</f>
        <v>0</v>
      </c>
      <c r="K254" s="79">
        <f>E254*K251</f>
        <v>0</v>
      </c>
      <c r="L254" s="79">
        <f t="shared" si="116"/>
        <v>0</v>
      </c>
      <c r="M254" s="79"/>
      <c r="N254" s="19">
        <f>N248+L254</f>
        <v>0</v>
      </c>
      <c r="O254" s="79"/>
      <c r="P254" s="79"/>
      <c r="Q254" s="124">
        <f>C254+0.5</f>
        <v>40</v>
      </c>
      <c r="R254" s="190">
        <f>IF($C$13="Yes",0,IF(Q254&gt;D254,0,E254*(D254-Q254)/D254))</f>
        <v>0</v>
      </c>
      <c r="S254" s="79">
        <f t="shared" ref="S254" si="118">L254</f>
        <v>0</v>
      </c>
    </row>
    <row r="255" spans="1:19" ht="12.5" x14ac:dyDescent="0.25">
      <c r="A255" s="17"/>
      <c r="B255" s="134"/>
      <c r="C255" s="135"/>
      <c r="D255" s="136"/>
      <c r="E255" s="137"/>
      <c r="F255" s="137"/>
      <c r="G255" s="137"/>
      <c r="H255" s="38"/>
      <c r="I255" s="38"/>
      <c r="J255" s="38"/>
      <c r="K255" s="38"/>
      <c r="L255" s="38"/>
      <c r="M255" s="38"/>
      <c r="O255" s="38"/>
      <c r="P255" s="38"/>
      <c r="Q255" s="138"/>
      <c r="R255" s="38"/>
      <c r="S255" s="38"/>
    </row>
    <row r="256" spans="1:19" ht="23" x14ac:dyDescent="0.25">
      <c r="A256" s="19"/>
      <c r="B256" s="2"/>
      <c r="C256" s="37"/>
      <c r="D256" s="117"/>
      <c r="E256" s="117"/>
      <c r="F256" s="117"/>
      <c r="G256" s="117"/>
      <c r="H256" s="118" t="s">
        <v>12</v>
      </c>
      <c r="I256" s="119"/>
      <c r="J256" s="118" t="s">
        <v>11</v>
      </c>
      <c r="K256" s="118" t="s">
        <v>10</v>
      </c>
      <c r="L256" s="119"/>
      <c r="M256" s="40"/>
      <c r="N256" s="19">
        <f>N250+L256</f>
        <v>0</v>
      </c>
      <c r="O256" s="36"/>
      <c r="P256" s="36"/>
      <c r="Q256" s="37"/>
      <c r="R256" s="37"/>
      <c r="S256" s="37"/>
    </row>
    <row r="257" spans="1:19" ht="15.5" x14ac:dyDescent="0.25">
      <c r="A257" s="93" t="s">
        <v>8</v>
      </c>
      <c r="B257" s="111">
        <f>B251+1</f>
        <v>41</v>
      </c>
      <c r="C257" s="37"/>
      <c r="D257" s="117"/>
      <c r="E257" s="251"/>
      <c r="F257" s="251"/>
      <c r="G257" s="120"/>
      <c r="H257" s="121">
        <f>IF($C$13="Yes",0,IF(SUM($C$10+B257)&lt;=2020,"6%",VLOOKUP($C$6&amp;SUM($C$10+B257),Data!$C:$D,2,FALSE)))</f>
        <v>0</v>
      </c>
      <c r="I257" s="117"/>
      <c r="J257" s="121">
        <f>VLOOKUP(C258,Data!$F:$I,3,FALSE)</f>
        <v>3.8E-3</v>
      </c>
      <c r="K257" s="121">
        <f>VLOOKUP(C258,Data!$F:$I,4,FALSE)</f>
        <v>1.06E-2</v>
      </c>
      <c r="L257" s="117"/>
      <c r="M257" s="37"/>
      <c r="N257" s="19">
        <f>N251+L257</f>
        <v>0</v>
      </c>
      <c r="O257" s="121" t="s">
        <v>53</v>
      </c>
      <c r="P257" s="121" t="s">
        <v>54</v>
      </c>
      <c r="Q257" s="122"/>
      <c r="R257" s="37"/>
      <c r="S257" s="37"/>
    </row>
    <row r="258" spans="1:19" x14ac:dyDescent="0.25">
      <c r="A258" s="17"/>
      <c r="B258" s="70" t="s">
        <v>6</v>
      </c>
      <c r="C258" s="70">
        <f>C252+1</f>
        <v>2068</v>
      </c>
      <c r="D258" s="70" t="s">
        <v>5</v>
      </c>
      <c r="E258" s="70" t="s">
        <v>9</v>
      </c>
      <c r="F258" s="70" t="s">
        <v>7</v>
      </c>
      <c r="G258" s="70" t="s">
        <v>1</v>
      </c>
      <c r="H258" s="70" t="s">
        <v>0</v>
      </c>
      <c r="I258" s="70" t="s">
        <v>5</v>
      </c>
      <c r="J258" s="70" t="s">
        <v>3</v>
      </c>
      <c r="K258" s="70" t="s">
        <v>2</v>
      </c>
      <c r="L258" s="70" t="s">
        <v>4</v>
      </c>
      <c r="M258" s="70" t="s">
        <v>13</v>
      </c>
      <c r="N258" s="20"/>
      <c r="O258" s="70" t="s">
        <v>26</v>
      </c>
      <c r="P258" s="70" t="s">
        <v>26</v>
      </c>
      <c r="Q258" s="70" t="s">
        <v>27</v>
      </c>
      <c r="R258" s="70" t="s">
        <v>28</v>
      </c>
      <c r="S258" s="70" t="s">
        <v>29</v>
      </c>
    </row>
    <row r="259" spans="1:19" ht="12.5" x14ac:dyDescent="0.25">
      <c r="A259" s="17" t="str">
        <f>B259&amp;$B$257</f>
        <v>Cap Con on Completion Type 141</v>
      </c>
      <c r="B259" s="83" t="str">
        <f>B253</f>
        <v>Cap Con on Completion Type 1</v>
      </c>
      <c r="C259" s="113">
        <f>C253+1</f>
        <v>40.5</v>
      </c>
      <c r="D259" s="115">
        <f>D253</f>
        <v>40</v>
      </c>
      <c r="E259" s="81">
        <f>E253*SUM(VLOOKUP(SUM($C$10+B251),Data!$F:$G,2,FALSE))</f>
        <v>206791051.65818086</v>
      </c>
      <c r="F259" s="81">
        <f>E259</f>
        <v>206791051.65818086</v>
      </c>
      <c r="G259" s="81">
        <f>IF($C$13="Yes",0,IF(C259&gt;D259,0,E259*(D259-C259)/D259))</f>
        <v>0</v>
      </c>
      <c r="H259" s="82">
        <f>IF(C259&gt;D259,0,G259*H257)</f>
        <v>0</v>
      </c>
      <c r="I259" s="130">
        <f>IF($C$13="Yes",0,IF(C259&gt;D259,0,E259*1/D259))</f>
        <v>0</v>
      </c>
      <c r="J259" s="82">
        <f>E259*J257</f>
        <v>785805.99630108732</v>
      </c>
      <c r="K259" s="82">
        <f>E259*K257</f>
        <v>2191985.1475767172</v>
      </c>
      <c r="L259" s="82">
        <f t="shared" ref="L259:L260" si="119">SUM(H259:K259)</f>
        <v>2977791.1438778043</v>
      </c>
      <c r="M259" s="82">
        <f>L259+L260</f>
        <v>2977791.1438778043</v>
      </c>
      <c r="N259" s="19">
        <f>N253+L259</f>
        <v>45151213.047882557</v>
      </c>
      <c r="O259" s="82">
        <f>SUM(R259:S260)</f>
        <v>2977791.1438778043</v>
      </c>
      <c r="P259" s="82">
        <f>SUM(S259:S260)/2+SUM(R259:R260)</f>
        <v>1488895.5719389021</v>
      </c>
      <c r="Q259" s="123">
        <f>C259+0.5</f>
        <v>41</v>
      </c>
      <c r="R259" s="189">
        <f>IF($C$13="Yes",0,IF(Q259&gt;D259,0,E259*(D259-Q259)/D259))</f>
        <v>0</v>
      </c>
      <c r="S259" s="82">
        <f>L259</f>
        <v>2977791.1438778043</v>
      </c>
    </row>
    <row r="260" spans="1:19" ht="12.5" x14ac:dyDescent="0.25">
      <c r="A260" s="17" t="str">
        <f>B260&amp;$B$257</f>
        <v>Cap Con on Completion Type 141</v>
      </c>
      <c r="B260" s="84" t="str">
        <f>B254</f>
        <v>Cap Con on Completion Type 1</v>
      </c>
      <c r="C260" s="114">
        <f>C254+1</f>
        <v>40.5</v>
      </c>
      <c r="D260" s="116">
        <f>D254</f>
        <v>0</v>
      </c>
      <c r="E260" s="78">
        <f>E254*SUM(VLOOKUP(SUM($C$10+B251),Data!$F:$G,2,FALSE))</f>
        <v>0</v>
      </c>
      <c r="F260" s="78">
        <f t="shared" ref="F260" si="120">E260</f>
        <v>0</v>
      </c>
      <c r="G260" s="78">
        <f>IF($C$13="Yes",0,IF(C260&gt;D260,0,E260*(D260-C260)/D260))</f>
        <v>0</v>
      </c>
      <c r="H260" s="79">
        <f>IF(C260&gt;D260,0,G260*H257)</f>
        <v>0</v>
      </c>
      <c r="I260" s="131">
        <f>IF($C$13="Yes",0,IF(C260&gt;D260,0,E260*1/D260))</f>
        <v>0</v>
      </c>
      <c r="J260" s="79">
        <f>E260*J257</f>
        <v>0</v>
      </c>
      <c r="K260" s="79">
        <f>E260*K257</f>
        <v>0</v>
      </c>
      <c r="L260" s="79">
        <f t="shared" si="119"/>
        <v>0</v>
      </c>
      <c r="M260" s="79"/>
      <c r="N260" s="19">
        <f>N254+L260</f>
        <v>0</v>
      </c>
      <c r="O260" s="79"/>
      <c r="P260" s="79"/>
      <c r="Q260" s="124">
        <f>C260+0.5</f>
        <v>41</v>
      </c>
      <c r="R260" s="190">
        <f>IF($C$13="Yes",0,IF(Q260&gt;D260,0,E260*(D260-Q260)/D260))</f>
        <v>0</v>
      </c>
      <c r="S260" s="79">
        <f t="shared" ref="S260" si="121">L260</f>
        <v>0</v>
      </c>
    </row>
    <row r="261" spans="1:19" ht="12.5" x14ac:dyDescent="0.25">
      <c r="A261" s="17"/>
      <c r="B261" s="134"/>
      <c r="C261" s="135"/>
      <c r="D261" s="136"/>
      <c r="E261" s="137"/>
      <c r="F261" s="137"/>
      <c r="G261" s="137"/>
      <c r="H261" s="38"/>
      <c r="I261" s="38"/>
      <c r="J261" s="38"/>
      <c r="K261" s="38"/>
      <c r="L261" s="38"/>
      <c r="M261" s="38"/>
      <c r="O261" s="38"/>
      <c r="P261" s="38"/>
      <c r="Q261" s="138"/>
      <c r="R261" s="38"/>
      <c r="S261" s="38"/>
    </row>
    <row r="262" spans="1:19" ht="23" x14ac:dyDescent="0.25">
      <c r="A262" s="19"/>
      <c r="B262" s="2"/>
      <c r="C262" s="37"/>
      <c r="D262" s="117"/>
      <c r="E262" s="117"/>
      <c r="F262" s="117"/>
      <c r="G262" s="117"/>
      <c r="H262" s="118" t="s">
        <v>12</v>
      </c>
      <c r="I262" s="119"/>
      <c r="J262" s="118" t="s">
        <v>11</v>
      </c>
      <c r="K262" s="118" t="s">
        <v>10</v>
      </c>
      <c r="L262" s="119"/>
      <c r="M262" s="40"/>
      <c r="N262" s="19">
        <f>N256+L262</f>
        <v>0</v>
      </c>
      <c r="O262" s="36"/>
      <c r="P262" s="36"/>
      <c r="Q262" s="37"/>
      <c r="R262" s="37"/>
      <c r="S262" s="37"/>
    </row>
    <row r="263" spans="1:19" ht="15.5" x14ac:dyDescent="0.25">
      <c r="A263" s="93" t="s">
        <v>8</v>
      </c>
      <c r="B263" s="111">
        <f>B257+1</f>
        <v>42</v>
      </c>
      <c r="C263" s="37"/>
      <c r="D263" s="117"/>
      <c r="E263" s="251"/>
      <c r="F263" s="251"/>
      <c r="G263" s="120"/>
      <c r="H263" s="121">
        <f>IF($C$13="Yes",0,IF(SUM($C$10+B257)&lt;=2020,"6%",VLOOKUP($C$6&amp;SUM($C$8+B257),Data!$C:$D,2,FALSE)))</f>
        <v>0</v>
      </c>
      <c r="I263" s="117"/>
      <c r="J263" s="121">
        <f>VLOOKUP(C264,Data!$F:$I,3,FALSE)</f>
        <v>3.8E-3</v>
      </c>
      <c r="K263" s="121">
        <f>VLOOKUP(C264,Data!$F:$I,4,FALSE)</f>
        <v>1.06E-2</v>
      </c>
      <c r="L263" s="117"/>
      <c r="M263" s="37"/>
      <c r="N263" s="19">
        <f>N257+L263</f>
        <v>0</v>
      </c>
      <c r="O263" s="121" t="s">
        <v>53</v>
      </c>
      <c r="P263" s="121" t="s">
        <v>54</v>
      </c>
      <c r="Q263" s="122"/>
      <c r="R263" s="37"/>
      <c r="S263" s="37"/>
    </row>
    <row r="264" spans="1:19" x14ac:dyDescent="0.25">
      <c r="A264" s="17"/>
      <c r="B264" s="70" t="s">
        <v>6</v>
      </c>
      <c r="C264" s="70">
        <f>C258+1</f>
        <v>2069</v>
      </c>
      <c r="D264" s="70" t="s">
        <v>5</v>
      </c>
      <c r="E264" s="70" t="s">
        <v>9</v>
      </c>
      <c r="F264" s="70" t="s">
        <v>7</v>
      </c>
      <c r="G264" s="70" t="s">
        <v>1</v>
      </c>
      <c r="H264" s="70" t="s">
        <v>0</v>
      </c>
      <c r="I264" s="70" t="s">
        <v>5</v>
      </c>
      <c r="J264" s="70" t="s">
        <v>3</v>
      </c>
      <c r="K264" s="70" t="s">
        <v>2</v>
      </c>
      <c r="L264" s="70" t="s">
        <v>4</v>
      </c>
      <c r="M264" s="70" t="s">
        <v>13</v>
      </c>
      <c r="N264" s="20"/>
      <c r="O264" s="70" t="s">
        <v>26</v>
      </c>
      <c r="P264" s="70" t="s">
        <v>26</v>
      </c>
      <c r="Q264" s="70" t="s">
        <v>27</v>
      </c>
      <c r="R264" s="70" t="s">
        <v>28</v>
      </c>
      <c r="S264" s="70" t="s">
        <v>29</v>
      </c>
    </row>
    <row r="265" spans="1:19" ht="12.5" x14ac:dyDescent="0.25">
      <c r="A265" s="17" t="str">
        <f>B265&amp;$B$263</f>
        <v>Cap Con on Completion Type 142</v>
      </c>
      <c r="B265" s="83" t="str">
        <f>B259</f>
        <v>Cap Con on Completion Type 1</v>
      </c>
      <c r="C265" s="113">
        <f>C259+1</f>
        <v>41.5</v>
      </c>
      <c r="D265" s="115">
        <f>D259</f>
        <v>40</v>
      </c>
      <c r="E265" s="81">
        <f>E259*SUM(VLOOKUP(SUM($C$10+B257),Data!$F:$G,2,FALSE))</f>
        <v>220211790.91079679</v>
      </c>
      <c r="F265" s="81">
        <f>E265</f>
        <v>220211790.91079679</v>
      </c>
      <c r="G265" s="81">
        <f>IF($C$13="Yes",0,IF(C265&gt;D265,0,E265*(D265-C265)/D265))</f>
        <v>0</v>
      </c>
      <c r="H265" s="82">
        <f>IF(C265&gt;D265,0,G265*H263)</f>
        <v>0</v>
      </c>
      <c r="I265" s="130">
        <f>IF($C$13="Yes",0,IF(C265&gt;D265,0,E265*1/D265))</f>
        <v>0</v>
      </c>
      <c r="J265" s="82">
        <f>E265*J263</f>
        <v>836804.80546102778</v>
      </c>
      <c r="K265" s="82">
        <f>E265*K263</f>
        <v>2334244.983654446</v>
      </c>
      <c r="L265" s="82">
        <f t="shared" ref="L265:L266" si="122">SUM(H265:K265)</f>
        <v>3171049.7891154736</v>
      </c>
      <c r="M265" s="82">
        <f>L265+L266</f>
        <v>3171049.7891154736</v>
      </c>
      <c r="N265" s="19">
        <f>N259+L265</f>
        <v>48322262.836998031</v>
      </c>
      <c r="O265" s="82">
        <f>SUM(R265:S266)</f>
        <v>3171049.7891154736</v>
      </c>
      <c r="P265" s="82">
        <f>SUM(S265:S266)/2+SUM(R265:R266)</f>
        <v>1585524.8945577368</v>
      </c>
      <c r="Q265" s="123">
        <f>C265+0.5</f>
        <v>42</v>
      </c>
      <c r="R265" s="189">
        <f>IF($C$13="Yes",0,IF(Q265&gt;D265,0,E265*(D265-Q265)/D265))</f>
        <v>0</v>
      </c>
      <c r="S265" s="82">
        <f>L265</f>
        <v>3171049.7891154736</v>
      </c>
    </row>
    <row r="266" spans="1:19" ht="12.5" x14ac:dyDescent="0.25">
      <c r="A266" s="17" t="str">
        <f>B266&amp;$B$263</f>
        <v>Cap Con on Completion Type 142</v>
      </c>
      <c r="B266" s="84" t="str">
        <f>B260</f>
        <v>Cap Con on Completion Type 1</v>
      </c>
      <c r="C266" s="114">
        <f>C260+1</f>
        <v>41.5</v>
      </c>
      <c r="D266" s="116">
        <f>D260</f>
        <v>0</v>
      </c>
      <c r="E266" s="78">
        <f>E260*SUM(VLOOKUP(SUM($C$10+B257),Data!$F:$G,2,FALSE))</f>
        <v>0</v>
      </c>
      <c r="F266" s="78">
        <f t="shared" ref="F266" si="123">E266</f>
        <v>0</v>
      </c>
      <c r="G266" s="78">
        <f>IF($C$13="Yes",0,IF(C266&gt;D266,0,E266*(D266-C266)/D266))</f>
        <v>0</v>
      </c>
      <c r="H266" s="79">
        <f>IF(C266&gt;D266,0,G266*H263)</f>
        <v>0</v>
      </c>
      <c r="I266" s="131">
        <f>IF($C$13="Yes",0,IF(C266&gt;D266,0,E266*1/D266))</f>
        <v>0</v>
      </c>
      <c r="J266" s="79">
        <f>E266*J263</f>
        <v>0</v>
      </c>
      <c r="K266" s="79">
        <f>E266*K263</f>
        <v>0</v>
      </c>
      <c r="L266" s="79">
        <f t="shared" si="122"/>
        <v>0</v>
      </c>
      <c r="M266" s="79"/>
      <c r="N266" s="19">
        <f>N260+L266</f>
        <v>0</v>
      </c>
      <c r="O266" s="79"/>
      <c r="P266" s="79"/>
      <c r="Q266" s="124">
        <f>C266+0.5</f>
        <v>42</v>
      </c>
      <c r="R266" s="190">
        <f>IF($C$13="Yes",0,IF(Q266&gt;D266,0,E266*(D266-Q266)/D266))</f>
        <v>0</v>
      </c>
      <c r="S266" s="79">
        <f t="shared" ref="S266" si="124">L266</f>
        <v>0</v>
      </c>
    </row>
    <row r="267" spans="1:19" x14ac:dyDescent="0.25">
      <c r="A267" s="17"/>
      <c r="B267" s="33"/>
      <c r="C267" s="30"/>
      <c r="D267" s="30"/>
      <c r="E267" s="38"/>
      <c r="F267" s="38"/>
      <c r="G267" s="38"/>
      <c r="H267" s="38"/>
      <c r="I267" s="38"/>
      <c r="J267" s="38"/>
      <c r="K267" s="38"/>
      <c r="L267" s="38"/>
      <c r="M267" s="38"/>
      <c r="N267" s="21">
        <f>N262+L267</f>
        <v>0</v>
      </c>
      <c r="O267" s="36"/>
      <c r="P267" s="36"/>
      <c r="Q267" s="37"/>
      <c r="R267" s="37"/>
      <c r="S267" s="37"/>
    </row>
    <row r="268" spans="1:19" ht="13.5" thickBot="1" x14ac:dyDescent="0.3"/>
    <row r="269" spans="1:19" ht="12.75" customHeight="1" x14ac:dyDescent="0.25">
      <c r="B269" s="229" t="s">
        <v>147</v>
      </c>
      <c r="C269" s="229"/>
      <c r="D269" s="229"/>
      <c r="E269" s="229"/>
      <c r="F269" s="229"/>
      <c r="G269" s="229"/>
      <c r="H269" s="229"/>
      <c r="I269" s="229"/>
      <c r="J269" s="229"/>
      <c r="K269" s="229"/>
    </row>
    <row r="270" spans="1:19" ht="12.5" x14ac:dyDescent="0.25">
      <c r="B270" s="230"/>
      <c r="C270" s="230"/>
      <c r="D270" s="230"/>
      <c r="E270" s="230"/>
      <c r="F270" s="230"/>
      <c r="G270" s="230"/>
      <c r="H270" s="230"/>
      <c r="I270" s="230"/>
      <c r="J270" s="230"/>
      <c r="K270" s="230"/>
    </row>
    <row r="271" spans="1:19" ht="12.5" x14ac:dyDescent="0.25">
      <c r="B271" s="230"/>
      <c r="C271" s="230"/>
      <c r="D271" s="230"/>
      <c r="E271" s="230"/>
      <c r="F271" s="230"/>
      <c r="G271" s="230"/>
      <c r="H271" s="230"/>
      <c r="I271" s="230"/>
      <c r="J271" s="230"/>
      <c r="K271" s="230"/>
    </row>
    <row r="272" spans="1:19" ht="12.5" x14ac:dyDescent="0.25">
      <c r="B272" s="231"/>
      <c r="C272" s="231"/>
      <c r="D272" s="231"/>
      <c r="E272" s="231"/>
      <c r="F272" s="231"/>
      <c r="G272" s="231"/>
      <c r="H272" s="231"/>
      <c r="I272" s="231"/>
      <c r="J272" s="231"/>
      <c r="K272" s="231"/>
    </row>
    <row r="273" spans="2:11" ht="12.75" customHeight="1" x14ac:dyDescent="0.25">
      <c r="B273" s="224" t="s">
        <v>85</v>
      </c>
      <c r="C273" s="224"/>
      <c r="D273" s="224"/>
      <c r="E273" s="224"/>
      <c r="F273" s="224"/>
      <c r="G273" s="224"/>
      <c r="H273" s="224"/>
      <c r="I273" s="224"/>
      <c r="J273" s="109"/>
      <c r="K273" s="109"/>
    </row>
    <row r="274" spans="2:11" x14ac:dyDescent="0.25">
      <c r="B274" s="225"/>
      <c r="C274" s="225"/>
      <c r="D274" s="225"/>
      <c r="E274" s="225"/>
      <c r="F274" s="225"/>
      <c r="G274" s="225"/>
      <c r="H274" s="225"/>
      <c r="I274" s="225"/>
      <c r="J274" s="110"/>
      <c r="K274" s="110"/>
    </row>
    <row r="275" spans="2:11" ht="17.5" x14ac:dyDescent="0.25">
      <c r="B275" s="243" t="s">
        <v>60</v>
      </c>
      <c r="C275" s="243"/>
      <c r="D275" s="96"/>
      <c r="E275" s="96"/>
      <c r="F275" s="96"/>
      <c r="G275" s="97"/>
      <c r="H275" s="96"/>
      <c r="I275" s="96"/>
      <c r="J275" s="96"/>
      <c r="K275" s="96"/>
    </row>
    <row r="276" spans="2:11" ht="18" customHeight="1" x14ac:dyDescent="0.25">
      <c r="B276" s="99" t="s">
        <v>92</v>
      </c>
      <c r="C276" s="99"/>
      <c r="D276" s="100" t="s">
        <v>61</v>
      </c>
      <c r="E276" s="244" t="s">
        <v>86</v>
      </c>
      <c r="F276" s="244"/>
      <c r="G276" s="244"/>
      <c r="H276" s="244"/>
      <c r="I276" s="244"/>
      <c r="J276" s="37"/>
      <c r="K276" s="36"/>
    </row>
    <row r="277" spans="2:11" ht="18" customHeight="1" x14ac:dyDescent="0.25">
      <c r="B277" s="101" t="s">
        <v>93</v>
      </c>
      <c r="C277" s="101"/>
      <c r="D277" s="102" t="s">
        <v>61</v>
      </c>
      <c r="E277" s="245" t="s">
        <v>102</v>
      </c>
      <c r="F277" s="245"/>
      <c r="G277" s="245"/>
      <c r="H277" s="245"/>
      <c r="I277" s="245"/>
      <c r="J277" s="37"/>
      <c r="K277" s="36"/>
    </row>
    <row r="278" spans="2:11" ht="18" customHeight="1" x14ac:dyDescent="0.25">
      <c r="B278" s="101" t="s">
        <v>94</v>
      </c>
      <c r="C278" s="101"/>
      <c r="D278" s="102" t="s">
        <v>61</v>
      </c>
      <c r="E278" s="245" t="s">
        <v>96</v>
      </c>
      <c r="F278" s="245"/>
      <c r="G278" s="245"/>
      <c r="H278" s="245"/>
      <c r="I278" s="245"/>
      <c r="J278" s="37"/>
      <c r="K278" s="36"/>
    </row>
    <row r="279" spans="2:11" ht="18" customHeight="1" x14ac:dyDescent="0.25">
      <c r="B279" s="101" t="s">
        <v>62</v>
      </c>
      <c r="C279" s="101"/>
      <c r="D279" s="102" t="s">
        <v>61</v>
      </c>
      <c r="E279" s="245" t="s">
        <v>97</v>
      </c>
      <c r="F279" s="245"/>
      <c r="G279" s="245"/>
      <c r="H279" s="245"/>
      <c r="I279" s="245"/>
      <c r="J279" s="37"/>
      <c r="K279" s="36"/>
    </row>
    <row r="280" spans="2:11" ht="17.5" x14ac:dyDescent="0.25">
      <c r="B280" s="103" t="s">
        <v>63</v>
      </c>
      <c r="C280" s="103"/>
      <c r="D280" s="102" t="s">
        <v>61</v>
      </c>
      <c r="E280" s="245" t="s">
        <v>89</v>
      </c>
      <c r="F280" s="245"/>
      <c r="G280" s="245"/>
      <c r="H280" s="245"/>
      <c r="I280" s="245"/>
      <c r="J280" s="37"/>
      <c r="K280" s="36"/>
    </row>
    <row r="281" spans="2:11" ht="18" customHeight="1" x14ac:dyDescent="0.25">
      <c r="B281" s="248" t="s">
        <v>98</v>
      </c>
      <c r="C281" s="103"/>
      <c r="D281" s="102" t="s">
        <v>61</v>
      </c>
      <c r="E281" s="245" t="s">
        <v>90</v>
      </c>
      <c r="F281" s="246"/>
      <c r="G281" s="246"/>
      <c r="H281" s="246"/>
      <c r="I281" s="246"/>
      <c r="J281" s="37"/>
      <c r="K281" s="36"/>
    </row>
    <row r="282" spans="2:11" ht="17.5" x14ac:dyDescent="0.25">
      <c r="B282" s="249"/>
      <c r="C282" s="103"/>
      <c r="D282" s="102" t="s">
        <v>61</v>
      </c>
      <c r="E282" s="246" t="s">
        <v>91</v>
      </c>
      <c r="F282" s="246"/>
      <c r="G282" s="246"/>
      <c r="H282" s="246"/>
      <c r="I282" s="246"/>
      <c r="J282" s="37"/>
      <c r="K282" s="36"/>
    </row>
    <row r="283" spans="2:11" ht="73.650000000000006" customHeight="1" x14ac:dyDescent="0.25">
      <c r="B283" s="103" t="s">
        <v>64</v>
      </c>
      <c r="C283" s="103"/>
      <c r="D283" s="102" t="s">
        <v>61</v>
      </c>
      <c r="E283" s="245" t="s">
        <v>87</v>
      </c>
      <c r="F283" s="245"/>
      <c r="G283" s="245"/>
      <c r="H283" s="245"/>
      <c r="I283" s="245"/>
      <c r="J283" s="37"/>
      <c r="K283" s="36"/>
    </row>
    <row r="284" spans="2:11" ht="18" customHeight="1" x14ac:dyDescent="0.25">
      <c r="B284" s="103" t="s">
        <v>65</v>
      </c>
      <c r="C284" s="103"/>
      <c r="D284" s="104" t="s">
        <v>61</v>
      </c>
      <c r="E284" s="245" t="s">
        <v>66</v>
      </c>
      <c r="F284" s="245"/>
      <c r="G284" s="245"/>
      <c r="H284" s="245"/>
      <c r="I284" s="245"/>
      <c r="J284" s="37"/>
      <c r="K284" s="36"/>
    </row>
    <row r="285" spans="2:11" ht="36.75" customHeight="1" x14ac:dyDescent="0.25">
      <c r="B285" s="103" t="s">
        <v>99</v>
      </c>
      <c r="C285" s="102"/>
      <c r="D285" s="104" t="s">
        <v>61</v>
      </c>
      <c r="E285" s="245" t="s">
        <v>88</v>
      </c>
      <c r="F285" s="245"/>
      <c r="G285" s="245"/>
      <c r="H285" s="245"/>
      <c r="I285" s="245"/>
      <c r="J285" s="37"/>
      <c r="K285" s="36"/>
    </row>
    <row r="286" spans="2:11" ht="18" customHeight="1" x14ac:dyDescent="0.25">
      <c r="B286" s="105" t="s">
        <v>100</v>
      </c>
      <c r="C286" s="102"/>
      <c r="D286" s="102" t="s">
        <v>61</v>
      </c>
      <c r="E286" s="245" t="s">
        <v>95</v>
      </c>
      <c r="F286" s="245"/>
      <c r="G286" s="245"/>
      <c r="H286" s="245"/>
      <c r="I286" s="245"/>
      <c r="J286" s="37"/>
      <c r="K286" s="36"/>
    </row>
    <row r="287" spans="2:11" ht="18" customHeight="1" x14ac:dyDescent="0.25">
      <c r="B287" s="106" t="s">
        <v>101</v>
      </c>
      <c r="C287" s="107"/>
      <c r="D287" s="108" t="s">
        <v>61</v>
      </c>
      <c r="E287" s="247" t="s">
        <v>67</v>
      </c>
      <c r="F287" s="247"/>
      <c r="G287" s="247"/>
      <c r="H287" s="247"/>
      <c r="I287" s="247"/>
      <c r="J287" s="37"/>
      <c r="K287" s="36"/>
    </row>
    <row r="288" spans="2:11" ht="12.75" customHeight="1" x14ac:dyDescent="0.25">
      <c r="B288" s="242" t="s">
        <v>68</v>
      </c>
      <c r="C288" s="242"/>
      <c r="D288" s="242"/>
      <c r="E288" s="242"/>
      <c r="F288" s="242"/>
      <c r="G288" s="242"/>
      <c r="H288" s="242"/>
      <c r="I288" s="242"/>
      <c r="J288" s="242"/>
      <c r="K288" s="242"/>
    </row>
    <row r="289" spans="2:11" ht="12.5" x14ac:dyDescent="0.25">
      <c r="B289" s="242"/>
      <c r="C289" s="242"/>
      <c r="D289" s="242"/>
      <c r="E289" s="242"/>
      <c r="F289" s="242"/>
      <c r="G289" s="242"/>
      <c r="H289" s="242"/>
      <c r="I289" s="242"/>
      <c r="J289" s="242"/>
      <c r="K289" s="242"/>
    </row>
    <row r="290" spans="2:11" ht="12.5" x14ac:dyDescent="0.25">
      <c r="B290" s="242"/>
      <c r="C290" s="242"/>
      <c r="D290" s="242"/>
      <c r="E290" s="242"/>
      <c r="F290" s="242"/>
      <c r="G290" s="242"/>
      <c r="H290" s="242"/>
      <c r="I290" s="242"/>
      <c r="J290" s="242"/>
      <c r="K290" s="242"/>
    </row>
    <row r="291" spans="2:11" ht="12.75" customHeight="1" x14ac:dyDescent="0.25">
      <c r="B291" s="241" t="s">
        <v>69</v>
      </c>
      <c r="C291" s="241"/>
      <c r="D291" s="241"/>
      <c r="E291" s="241"/>
      <c r="F291" s="241"/>
      <c r="G291" s="241"/>
      <c r="H291" s="241"/>
      <c r="I291" s="241"/>
      <c r="J291" s="241"/>
      <c r="K291" s="241"/>
    </row>
    <row r="292" spans="2:11" ht="12.5" x14ac:dyDescent="0.25">
      <c r="B292" s="241"/>
      <c r="C292" s="241"/>
      <c r="D292" s="241"/>
      <c r="E292" s="241"/>
      <c r="F292" s="241"/>
      <c r="G292" s="241"/>
      <c r="H292" s="241"/>
      <c r="I292" s="241"/>
      <c r="J292" s="241"/>
      <c r="K292" s="241"/>
    </row>
    <row r="293" spans="2:11" x14ac:dyDescent="0.25">
      <c r="B293" s="98" t="s">
        <v>70</v>
      </c>
      <c r="C293" s="36"/>
      <c r="D293" s="36"/>
      <c r="E293" s="36"/>
      <c r="F293" s="36"/>
      <c r="G293" s="37"/>
      <c r="H293" s="36"/>
      <c r="I293" s="36"/>
      <c r="J293" s="36"/>
      <c r="K293" s="36"/>
    </row>
    <row r="294" spans="2:11" x14ac:dyDescent="0.25"/>
    <row r="295" spans="2:11" x14ac:dyDescent="0.25"/>
    <row r="296" spans="2:11" x14ac:dyDescent="0.25"/>
    <row r="297" spans="2:11" x14ac:dyDescent="0.25"/>
    <row r="298" spans="2:11" x14ac:dyDescent="0.25"/>
    <row r="299" spans="2:11" x14ac:dyDescent="0.25"/>
    <row r="300" spans="2:11" x14ac:dyDescent="0.25"/>
    <row r="301" spans="2:11" x14ac:dyDescent="0.25"/>
    <row r="302" spans="2:11" x14ac:dyDescent="0.25"/>
    <row r="303" spans="2:11" x14ac:dyDescent="0.25"/>
    <row r="304" spans="2:11"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sheetData>
  <mergeCells count="63">
    <mergeCell ref="D1:N4"/>
    <mergeCell ref="G10:I13"/>
    <mergeCell ref="G7:H7"/>
    <mergeCell ref="E284:I284"/>
    <mergeCell ref="E143:F143"/>
    <mergeCell ref="E149:F149"/>
    <mergeCell ref="E155:F155"/>
    <mergeCell ref="B269:K272"/>
    <mergeCell ref="B273:I274"/>
    <mergeCell ref="E245:F245"/>
    <mergeCell ref="E251:F251"/>
    <mergeCell ref="E257:F257"/>
    <mergeCell ref="E263:F263"/>
    <mergeCell ref="E161:F161"/>
    <mergeCell ref="E167:F167"/>
    <mergeCell ref="E278:I278"/>
    <mergeCell ref="E287:I287"/>
    <mergeCell ref="E191:F191"/>
    <mergeCell ref="E197:F197"/>
    <mergeCell ref="E239:F239"/>
    <mergeCell ref="B288:K290"/>
    <mergeCell ref="E280:I280"/>
    <mergeCell ref="B281:B282"/>
    <mergeCell ref="E281:I281"/>
    <mergeCell ref="E282:I282"/>
    <mergeCell ref="E283:I283"/>
    <mergeCell ref="B275:C275"/>
    <mergeCell ref="E276:I276"/>
    <mergeCell ref="E277:I277"/>
    <mergeCell ref="E233:F233"/>
    <mergeCell ref="E203:F203"/>
    <mergeCell ref="E209:F209"/>
    <mergeCell ref="B291:K292"/>
    <mergeCell ref="E23:F23"/>
    <mergeCell ref="E29:F29"/>
    <mergeCell ref="E35:F35"/>
    <mergeCell ref="E41:F41"/>
    <mergeCell ref="E47:F47"/>
    <mergeCell ref="E53:F53"/>
    <mergeCell ref="E59:F59"/>
    <mergeCell ref="E65:F65"/>
    <mergeCell ref="E71:F71"/>
    <mergeCell ref="E77:F77"/>
    <mergeCell ref="E83:F83"/>
    <mergeCell ref="E89:F89"/>
    <mergeCell ref="E279:I279"/>
    <mergeCell ref="E285:I285"/>
    <mergeCell ref="E286:I286"/>
    <mergeCell ref="E215:F215"/>
    <mergeCell ref="E221:F221"/>
    <mergeCell ref="E227:F227"/>
    <mergeCell ref="E185:F185"/>
    <mergeCell ref="E95:F95"/>
    <mergeCell ref="E101:F101"/>
    <mergeCell ref="E107:F107"/>
    <mergeCell ref="E137:F137"/>
    <mergeCell ref="E173:F173"/>
    <mergeCell ref="E179:F179"/>
    <mergeCell ref="E17:G17"/>
    <mergeCell ref="E113:F113"/>
    <mergeCell ref="E119:F119"/>
    <mergeCell ref="E125:F125"/>
    <mergeCell ref="E131:F131"/>
  </mergeCells>
  <conditionalFormatting sqref="G7">
    <cfRule type="expression" dxfId="1" priority="1">
      <formula>$D$9="SHETL"</formula>
    </cfRule>
    <cfRule type="expression" dxfId="0" priority="2">
      <formula>$D$9="SPT"</formula>
    </cfRule>
  </conditionalFormatting>
  <printOptions horizontalCentered="1" verticalCentered="1"/>
  <pageMargins left="0.19685039370078741" right="0.19685039370078741" top="0.23622047244094491" bottom="0.23622047244094491" header="0.19685039370078741" footer="0.19685039370078741"/>
  <pageSetup paperSize="8" scale="68" fitToHeight="0" orientation="portrait" r:id="rId1"/>
  <headerFooter alignWithMargins="0"/>
  <ignoredErrors>
    <ignoredError sqref="A35 A20 A26:D26 A32:D32 A38:D38 A44:D44 A50:D50 A56:D56 A62:D62 A68:D68 A74:D74 A80:D80 A86:D86 A92:D92 A98:D98 A104:D104 A110:D110 A116:D116 A122:D122 A128:D128 A134:D134 A140:D140 A146:D146 A152:D152 A158:D158 A164:D164 A170:D170 A176:D176 A182:D182 A188:D188 A194:D194 A200:D200 A206:D206 A212:D212 A218:D218 A224:D224 A230:D230 A236:D236 A242:D242 A248:D248 A254:D254 A260:D260 A266:D266 A267:O267 N266 A262:O262 N260 A256:O256 N254 A250:O250 N248 A244:O244 N242 A238:O238 N236 A232:O232 N230 A226:O226 N224 A220:O220 N218 A214:O214 N212 A208:O208 N206 A202:O202 N200 A196:O196 N194 A190:O190 N188 A184:O184 N182 A178:O178 N176 A172:O172 N170 A166:O166 N164 A160:O160 N158 A154:O154 N152 A148:O148 N146 A142:O142 N140 A136:O136 N134 A130:O130 N128 A124:O124 N122 A118:O118 N116 A112:O112 N110 A106:O106 N104 A100:O100 N98 A94:O94 N92 A88:O88 N86 A82:O82 N80 A76:O76 N74 A70:O70 N68 A64:O64 N62 A58:O58 N56 A52:O52 N50 A46:O46 N44 A40:O40 N38 A34:O34 N32 A28:O28 N26 A22:O22 N20:O20 C35:G35 A36:N36 A16:C16 A18:O18 A17:D17 A24:N24 A30:N30 A42:N42 A48:N48 A54:N54 A60:N60 A66:N66 A72:N72 A78:N78 A84:N84 A90:N90 A96:N96 A102:N102 A108:N108 A114:N114 A120:N120 A126:N126 A132:N132 A138:N138 A144:N144 A150:N150 A156:N156 A162:N162 A168:N168 A174:N174 A180:N180 A186:N186 A192:N192 A198:N198 A204:N204 A210:N210 A216:N216 Q226:S226 A222:N222 A228:N228 Q232:S232 A234:N234 Q238:S238 A240:N240 Q244:S244 A246:N246 Q250:S250 A252:N252 Q256:S256 A258:N258 Q262:S262 A264:N264 Q267:S267 Q18:S18 R17:S17 A19 F19 A25:D25 F25 Q20 F20 I17 A23:G23 N23 A29:G29 N29 K19:L19 L17:N17 I23:J23 I29 I35 A41:G41 I41 A47:G47 I47 A53:G53 I53 A59:G59 I59 A65:G65 I65 A71:G71 I71 A77:G77 I77 A83:G83 I83 A89:G89 I89 A95:G95 I95 A101:G101 I101 A107:G107 I107 A113:G113 I113 A119:G119 I119 A125:G125 I125 A131:G131 I131 A137:G137 I137 A143:G143 I143 A149:G149 I149 A155:G155 I155 A161:G161 I161 A167:G167 I167 A173:G173 I173 A179:G179 I179 A185:G185 I185 A191:G191 I191 A197:G197 I197 A203:G203 I203 A209:G209 I209 A215:G215 I215 A221:G221 I221 A227:G227 I227 A233:G233 I233 A239:G239 I239 A245:G245 I245 A251:G251 I251 A257:G257 I257 A263:G263 I263 Q220:S220 Q214:S216 Q208:S210 Q202:S204 Q196:S198 Q190:S192 Q184:S186 Q178:S180 Q172:S174 Q166:S168 Q160:S162 Q154:S156 Q148:S150 Q142:S144 Q136:S138 Q130:S132 Q124:S126 Q118:S120 Q112:S114 Q106:S108 Q100:S102 Q94:S96 Q88:S90 Q82:S84 Q76:S78 Q70:S72 Q64:S66 Q58:S60 Q52:S54 Q46:S48 Q40:S42 Q34:S36 Q28:S30 Q22:S24 J20:L20 J26:L26 J25:N25 J32:L32 A31:D31 J31:N31 J38:L38 A37:D37 J37:N37 J44:L44 A43:D43 J43:N43 J50:L50 A49:D49 J49:N49 J56:L56 A55:D55 J55:N55 J62:L62 A61:D61 J61:N61 J68:L68 A67:D67 J67:N67 J74:L74 A73:D73 J73:N73 J80:L80 A79:D79 J79:N79 J86:L86 A85:D85 J85:N85 J92:L92 A91:D91 J91:N91 J98:L98 A97:D97 J97:N97 J104:L104 A103:D103 J103:N103 J110:L110 A109:D109 J109:N109 J116:L116 A115:D115 J115:N115 J122:L122 A121:D121 J121:N121 J128:L128 A127:D127 J127:N127 J134:L134 A133:D133 J133:N133 J140:L140 A139:D139 J139:N139 J146:L146 A145:D145 J145:N145 J152:L152 A151:D151 J151:N151 J158:L158 A157:D157 J157:N157 J164:L164 A163:D163 J163:N163 J170:L170 A169:D169 J169:N169 J176:L176 A175:D175 J175:N175 J182:L182 A181:D181 J181:N181 A187:D187 J187:N187 J188:L188 J194:L194 A193:D193 J193:N193 J200:L200 A199:D199 J199:N199 J206:L206 A205:D205 J205:N205 J212:L212 A211:D211 J211:N211 J218:L218 A217:D217 J217:N217 J224:L224 A223:D223 J223:N223 J230:L230 A229:D229 J229:N229 J236:L236 A235:D235 J235:N235 J242:L242 A241:D241 J241:N241 J248:L248 A247:D247 J247:N247 J254:L254 A253:D253 J253:N253 J260:L260 A259:D259 J259:N259 J266:L266 A265:D265 J265:N265 F26 F32 F31 F38 F37 F44 F43 F50 F49 F56 F55 F62 F61 F68 F67 F74 F73 F80 F79 F86 F85 F92 F91 F98 F97 F104 F103 F110 F109 F116 F115 F122 F121 F128 F127 F134 F133 F140 F139 F146 F145 F152 F151 F158 F157 F164 F163 F170 F169 F176 F175 F182 F181 F188 F187 F194 F193 F200 F199 F206 F205 F212 F211 F218 F217 F224 F223 F230 F229 F236 F235 F242 F241 F248 F247 F254 F253 F260 F259 F266 F265 L29 L35:N35 L41:N41 L47:N47 L53:N53 L59:N59 L65:N65 L71:N71 L77:N77 L83:N83 L89:N89 L95:N95 L101:N101 L107:N107 L113:N113 L119:N119 L125:N125 L131:N131 L137:N137 L143:N143 L149:N149 L155:N155 L161:N161 L167:N167 L173:N173 L179:N179 L185:N185 L191:N191 L197:N197 L203:N203 L209:N209 L215:N215 L221:N221 L227:N227 L233:N233 L239:N239 L245:N245 L251:N251 L257:N257 L263:N263 C9 L23 N19 F16:L16 C19:D19 C20:D20 Q194 Q193 S193 H19 H25 H31 H37 H43 H49 H55 H61 H67 H73 H79 H85 H91 H97 H103 H109 H115 H121 H127 H133 H139 H145 H151 H157 H163 H169 H175 H181 H187 H193 H199 H205 H211 H217 H223 H229 H235 H241 H247 H253 H259 H265 Q26 Q25 S25 Q32 Q31 S31 Q38 Q37 S37 Q44 Q43 S43 Q50 Q49 S49 Q56 Q55 S55 Q62 Q61 S61 Q68 Q67 S67 Q74 Q73 S73 Q80 Q79 S79 Q86 Q85 S85 Q92 Q91 S91 Q98 Q97 S97 Q104 Q103 S103 Q110 Q109 S109 Q116 Q115 S115 Q122 Q121 S121 Q128 Q127 S127 Q134 Q133 S133 Q140 Q139 S139 Q146 Q145 S145 Q152 Q151 S151 Q158 Q157 S157 Q164 Q163 S163 Q170 Q169 S169 Q176 Q175 S175 Q182 Q181 S181 Q188 Q187 S187 Q200 Q199 S199 Q206 Q205 S205 Q212 Q211 S211 Q218 Q217 S217 H20 H26 H32 H38 H44 H50 H56 H62 H68 H74 H80 H86 H92 H98 H104 H110 H116 H122 H128 H134 H140 H146 H152 H158 H164 H170 H176 H182 H188 H194 H200 H206 H212 H218 H224 H230 H236 H242 H248 H254 H260 H266 S26 S32 S38 S44 S50 S56 S62 S68 S74 S80 S86 S92 S98 S104 S110 S116 S122 S128 S134 S140 S146 S152 S158 S164 S170 S176 S182 S188 S194 S200 S206 S212 S21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B85C9-75E3-41FD-BA18-A56D7827AC80}">
  <sheetPr codeName="Sheet5">
    <tabColor rgb="FF7030A0"/>
  </sheetPr>
  <dimension ref="A1:T50"/>
  <sheetViews>
    <sheetView showGridLines="0" zoomScale="80" zoomScaleNormal="80" workbookViewId="0">
      <selection activeCell="G1" sqref="G1:O4"/>
    </sheetView>
  </sheetViews>
  <sheetFormatPr defaultColWidth="0" defaultRowHeight="12.5" x14ac:dyDescent="0.25"/>
  <cols>
    <col min="1" max="1" width="3.54296875" style="47" customWidth="1"/>
    <col min="2" max="2" width="9.453125" style="47" bestFit="1" customWidth="1"/>
    <col min="3" max="3" width="5.453125" style="197" bestFit="1" customWidth="1"/>
    <col min="4" max="4" width="1.54296875" style="53" customWidth="1"/>
    <col min="5" max="5" width="17.54296875" style="47" customWidth="1"/>
    <col min="6" max="7" width="15" style="47" bestFit="1" customWidth="1"/>
    <col min="8" max="8" width="1.54296875" style="54" customWidth="1"/>
    <col min="9" max="9" width="19.453125" style="47" bestFit="1" customWidth="1"/>
    <col min="10" max="10" width="13.54296875" style="47" bestFit="1" customWidth="1"/>
    <col min="11" max="11" width="12.54296875" style="55" bestFit="1" customWidth="1"/>
    <col min="12" max="12" width="1.54296875" style="47" customWidth="1"/>
    <col min="13" max="13" width="19.453125" style="47" bestFit="1" customWidth="1"/>
    <col min="14" max="14" width="13.54296875" style="55" bestFit="1" customWidth="1"/>
    <col min="15" max="15" width="12.54296875" style="47" bestFit="1" customWidth="1"/>
    <col min="16" max="16" width="18.54296875" style="48" customWidth="1"/>
    <col min="17" max="18" width="8.54296875" style="47" hidden="1" customWidth="1"/>
    <col min="19" max="19" width="14.453125" style="47" hidden="1" customWidth="1"/>
    <col min="20" max="20" width="18.54296875" style="47" hidden="1" customWidth="1"/>
    <col min="21" max="16384" width="8.54296875" style="47" hidden="1"/>
  </cols>
  <sheetData>
    <row r="1" spans="2:17" ht="12.75" customHeight="1" x14ac:dyDescent="0.25">
      <c r="G1" s="256" t="s">
        <v>149</v>
      </c>
      <c r="H1" s="256"/>
      <c r="I1" s="256"/>
      <c r="J1" s="256"/>
      <c r="K1" s="256"/>
      <c r="L1" s="256"/>
      <c r="M1" s="256"/>
      <c r="N1" s="256"/>
      <c r="O1" s="256"/>
      <c r="P1" s="62"/>
      <c r="Q1" s="62"/>
    </row>
    <row r="2" spans="2:17" x14ac:dyDescent="0.25">
      <c r="G2" s="256"/>
      <c r="H2" s="256"/>
      <c r="I2" s="256"/>
      <c r="J2" s="256"/>
      <c r="K2" s="256"/>
      <c r="L2" s="256"/>
      <c r="M2" s="256"/>
      <c r="N2" s="256"/>
      <c r="O2" s="256"/>
      <c r="P2" s="62"/>
      <c r="Q2" s="62"/>
    </row>
    <row r="3" spans="2:17" x14ac:dyDescent="0.25">
      <c r="G3" s="256"/>
      <c r="H3" s="256"/>
      <c r="I3" s="256"/>
      <c r="J3" s="256"/>
      <c r="K3" s="256"/>
      <c r="L3" s="256"/>
      <c r="M3" s="256"/>
      <c r="N3" s="256"/>
      <c r="O3" s="256"/>
      <c r="P3" s="62"/>
      <c r="Q3" s="62"/>
    </row>
    <row r="4" spans="2:17" x14ac:dyDescent="0.25">
      <c r="G4" s="256"/>
      <c r="H4" s="256"/>
      <c r="I4" s="256"/>
      <c r="J4" s="256"/>
      <c r="K4" s="256"/>
      <c r="L4" s="256"/>
      <c r="M4" s="256"/>
      <c r="N4" s="256"/>
      <c r="O4" s="256"/>
      <c r="P4" s="62"/>
      <c r="Q4" s="62"/>
    </row>
    <row r="6" spans="2:17" x14ac:dyDescent="0.25">
      <c r="D6" s="47"/>
      <c r="G6" s="55"/>
      <c r="H6" s="55"/>
      <c r="I6" s="55"/>
    </row>
    <row r="7" spans="2:17" ht="20.25" customHeight="1" x14ac:dyDescent="0.25">
      <c r="B7" s="254" t="s">
        <v>78</v>
      </c>
      <c r="C7" s="254"/>
      <c r="D7" s="254"/>
      <c r="E7" s="254"/>
      <c r="F7" s="254"/>
      <c r="G7" s="254"/>
      <c r="H7" s="254"/>
      <c r="I7" s="254"/>
      <c r="J7" s="254"/>
      <c r="K7" s="254"/>
      <c r="L7" s="254"/>
      <c r="M7" s="254"/>
      <c r="N7" s="254"/>
      <c r="O7" s="254"/>
      <c r="P7" s="57"/>
    </row>
    <row r="8" spans="2:17" ht="13" x14ac:dyDescent="0.25">
      <c r="B8" s="255"/>
      <c r="C8" s="255"/>
      <c r="D8" s="255"/>
      <c r="E8" s="255"/>
      <c r="F8" s="255"/>
      <c r="G8" s="255"/>
      <c r="H8" s="255"/>
      <c r="I8" s="255"/>
      <c r="J8" s="255"/>
      <c r="K8" s="255"/>
      <c r="L8" s="255"/>
      <c r="M8" s="255"/>
      <c r="N8" s="255"/>
      <c r="O8" s="255"/>
      <c r="P8" s="57"/>
    </row>
    <row r="9" spans="2:17" ht="47.25" customHeight="1" x14ac:dyDescent="0.25">
      <c r="B9" s="112" t="s">
        <v>71</v>
      </c>
      <c r="C9" s="198" t="s">
        <v>8</v>
      </c>
      <c r="D9" s="56"/>
      <c r="E9" s="112" t="s">
        <v>81</v>
      </c>
      <c r="F9" s="112" t="s">
        <v>76</v>
      </c>
      <c r="G9" s="112" t="s">
        <v>77</v>
      </c>
      <c r="H9" s="56"/>
      <c r="I9" s="112" t="s">
        <v>82</v>
      </c>
      <c r="J9" s="112" t="s">
        <v>76</v>
      </c>
      <c r="K9" s="112" t="s">
        <v>77</v>
      </c>
      <c r="L9" s="125"/>
      <c r="M9" s="112" t="s">
        <v>83</v>
      </c>
      <c r="N9" s="112" t="s">
        <v>76</v>
      </c>
      <c r="O9" s="112" t="s">
        <v>77</v>
      </c>
      <c r="P9" s="53"/>
    </row>
    <row r="10" spans="2:17" ht="13" x14ac:dyDescent="0.25">
      <c r="B10" s="126">
        <v>1</v>
      </c>
      <c r="C10" s="199">
        <f>'Forecast Detail'!C10</f>
        <v>2028</v>
      </c>
      <c r="D10" s="42"/>
      <c r="E10" s="78">
        <f>IFERROR(SUMIF('Forecast Detail'!$A:$A,'Forecast Chart'!$A$3&amp;B10,'Forecast Detail'!$M:$M),0)</f>
        <v>0</v>
      </c>
      <c r="F10" s="79">
        <f>IFERROR(SUMIF('Forecast Detail'!$A:$A,'Forecast Chart'!$A$3&amp;B10,'Forecast Detail'!$O:$O),0)</f>
        <v>0</v>
      </c>
      <c r="G10" s="79">
        <f>IFERROR(SUMIF('Forecast Detail'!$A:$A,'Forecast Chart'!$A$3&amp;B10,'Forecast Detail'!$P:$P),0)</f>
        <v>0</v>
      </c>
      <c r="I10" s="78">
        <f>IFERROR(SUMIF('Forecast Detail'!$A:$A,'Forecast Chart'!$A$4&amp;B10,'Forecast Detail'!$M:$M),0)</f>
        <v>240736.06230789772</v>
      </c>
      <c r="J10" s="79">
        <f>IFERROR(SUMIF('Forecast Detail'!$A:$A,'Forecast Chart'!$A$4&amp;B10,'Forecast Detail'!$O:$O),0)</f>
        <v>240736.06230789772</v>
      </c>
      <c r="K10" s="79">
        <f>IFERROR(SUMIF('Forecast Detail'!$A:$A,'Forecast Chart'!$A$4&amp;B10,'Forecast Detail'!$P:$P),0)</f>
        <v>120368.03115394886</v>
      </c>
      <c r="M10" s="78">
        <f>IFERROR(SUMIF('Forecast Detail'!$A:$A,'Forecast Chart'!$A$5&amp;B10,'Forecast Detail'!$M:$M),0)</f>
        <v>0</v>
      </c>
      <c r="N10" s="79">
        <f>IFERROR(SUMIF('Forecast Detail'!$A:$A,'Forecast Chart'!$A$5&amp;B10,'Forecast Detail'!$O:$O),0)</f>
        <v>0</v>
      </c>
      <c r="O10" s="79">
        <f>IFERROR(SUMIF('Forecast Detail'!$A:$A,'Forecast Chart'!$A$5&amp;B10,'Forecast Detail'!$P:$P),0)</f>
        <v>0</v>
      </c>
      <c r="P10" s="47"/>
    </row>
    <row r="11" spans="2:17" ht="13" x14ac:dyDescent="0.25">
      <c r="B11" s="126">
        <v>2</v>
      </c>
      <c r="C11" s="199">
        <f>C10+1</f>
        <v>2029</v>
      </c>
      <c r="D11" s="42"/>
      <c r="E11" s="78">
        <f>IFERROR(SUMIF('Forecast Detail'!$A:$A,'Forecast Chart'!$A$3&amp;B11,'Forecast Detail'!$M:$M),0)</f>
        <v>0</v>
      </c>
      <c r="F11" s="79">
        <f>IFERROR(SUMIF('Forecast Detail'!$A:$A,'Forecast Chart'!$A$3&amp;B11,'Forecast Detail'!$O:$O),0)</f>
        <v>0</v>
      </c>
      <c r="G11" s="79">
        <f>IFERROR(SUMIF('Forecast Detail'!$A:$A,'Forecast Chart'!$A$3&amp;B11,'Forecast Detail'!$P:$P),0)</f>
        <v>0</v>
      </c>
      <c r="I11" s="78">
        <f>IFERROR(SUMIF('Forecast Detail'!$A:$A,'Forecast Chart'!$A$4&amp;B11,'Forecast Detail'!$M:$M),0)</f>
        <v>256359.83275168031</v>
      </c>
      <c r="J11" s="79">
        <f>IFERROR(SUMIF('Forecast Detail'!$A:$A,'Forecast Chart'!$A$4&amp;B11,'Forecast Detail'!$O:$O),0)</f>
        <v>256359.83275168031</v>
      </c>
      <c r="K11" s="79">
        <f>IFERROR(SUMIF('Forecast Detail'!$A:$A,'Forecast Chart'!$A$4&amp;B11,'Forecast Detail'!$P:$P),0)</f>
        <v>128179.91637584016</v>
      </c>
      <c r="M11" s="78">
        <f>IFERROR(SUMIF('Forecast Detail'!$A:$A,'Forecast Chart'!$A$5&amp;B11,'Forecast Detail'!$M:$M),0)</f>
        <v>0</v>
      </c>
      <c r="N11" s="79">
        <f>IFERROR(SUMIF('Forecast Detail'!$A:$A,'Forecast Chart'!$A$5&amp;B11,'Forecast Detail'!$O:$O),0)</f>
        <v>0</v>
      </c>
      <c r="O11" s="79">
        <f>IFERROR(SUMIF('Forecast Detail'!$A:$A,'Forecast Chart'!$A$5&amp;B11,'Forecast Detail'!$P:$P),0)</f>
        <v>0</v>
      </c>
      <c r="P11" s="47"/>
    </row>
    <row r="12" spans="2:17" ht="13" x14ac:dyDescent="0.25">
      <c r="B12" s="126">
        <v>3</v>
      </c>
      <c r="C12" s="199">
        <f t="shared" ref="C12:C50" si="0">C11+1</f>
        <v>2030</v>
      </c>
      <c r="D12" s="42"/>
      <c r="E12" s="78">
        <f>IFERROR(SUMIF('Forecast Detail'!$A:$A,'Forecast Chart'!$A$3&amp;B12,'Forecast Detail'!$M:$M),0)</f>
        <v>0</v>
      </c>
      <c r="F12" s="190">
        <f>IFERROR(SUMIF('Forecast Detail'!$A:$A,'Forecast Chart'!$A$3&amp;B12,'Forecast Detail'!$O:$O),0)</f>
        <v>0</v>
      </c>
      <c r="G12" s="190">
        <f>IFERROR(SUMIF('Forecast Detail'!$A:$A,'Forecast Chart'!$A$3&amp;B12,'Forecast Detail'!$P:$P),0)</f>
        <v>0</v>
      </c>
      <c r="I12" s="78">
        <f>IFERROR(SUMIF('Forecast Detail'!$A:$A,'Forecast Chart'!$A$4&amp;B12,'Forecast Detail'!$M:$M),0)</f>
        <v>272997.5858972643</v>
      </c>
      <c r="J12" s="79">
        <f>IFERROR(SUMIF('Forecast Detail'!$A:$A,'Forecast Chart'!$A$4&amp;B12,'Forecast Detail'!$O:$O),0)</f>
        <v>272997.5858972643</v>
      </c>
      <c r="K12" s="79">
        <f>IFERROR(SUMIF('Forecast Detail'!$A:$A,'Forecast Chart'!$A$4&amp;B12,'Forecast Detail'!$P:$P),0)</f>
        <v>136498.79294863215</v>
      </c>
      <c r="M12" s="78">
        <f>IFERROR(SUMIF('Forecast Detail'!$A:$A,'Forecast Chart'!$A$5&amp;B12,'Forecast Detail'!$M:$M),0)</f>
        <v>0</v>
      </c>
      <c r="N12" s="79">
        <f>IFERROR(SUMIF('Forecast Detail'!$A:$A,'Forecast Chart'!$A$5&amp;B12,'Forecast Detail'!$O:$O),0)</f>
        <v>0</v>
      </c>
      <c r="O12" s="79">
        <f>IFERROR(SUMIF('Forecast Detail'!$A:$A,'Forecast Chart'!$A$5&amp;B12,'Forecast Detail'!$P:$P),0)</f>
        <v>0</v>
      </c>
      <c r="P12" s="47"/>
    </row>
    <row r="13" spans="2:17" ht="13" x14ac:dyDescent="0.25">
      <c r="B13" s="126">
        <v>4</v>
      </c>
      <c r="C13" s="199">
        <f t="shared" si="0"/>
        <v>2031</v>
      </c>
      <c r="D13" s="42"/>
      <c r="E13" s="78">
        <f>IFERROR(SUMIF('Forecast Detail'!$A:$A,'Forecast Chart'!$A$3&amp;B13,'Forecast Detail'!$M:$M),0)</f>
        <v>0</v>
      </c>
      <c r="F13" s="79">
        <f>IFERROR(SUMIF('Forecast Detail'!$A:$A,'Forecast Chart'!$A$3&amp;B13,'Forecast Detail'!$O:$O),0)</f>
        <v>0</v>
      </c>
      <c r="G13" s="79">
        <f>IFERROR(SUMIF('Forecast Detail'!$A:$A,'Forecast Chart'!$A$3&amp;B13,'Forecast Detail'!$P:$P),0)</f>
        <v>0</v>
      </c>
      <c r="I13" s="78">
        <f>IFERROR(SUMIF('Forecast Detail'!$A:$A,'Forecast Chart'!$A$4&amp;B13,'Forecast Detail'!$M:$M),0)</f>
        <v>290715.12922199676</v>
      </c>
      <c r="J13" s="79">
        <f>IFERROR(SUMIF('Forecast Detail'!$A:$A,'Forecast Chart'!$A$4&amp;B13,'Forecast Detail'!$O:$O),0)</f>
        <v>290715.12922199676</v>
      </c>
      <c r="K13" s="79">
        <f>IFERROR(SUMIF('Forecast Detail'!$A:$A,'Forecast Chart'!$A$4&amp;B13,'Forecast Detail'!$P:$P),0)</f>
        <v>145357.56461099838</v>
      </c>
      <c r="M13" s="78">
        <f>IFERROR(SUMIF('Forecast Detail'!$A:$A,'Forecast Chart'!$A$5&amp;B13,'Forecast Detail'!$M:$M),0)</f>
        <v>0</v>
      </c>
      <c r="N13" s="79">
        <f>IFERROR(SUMIF('Forecast Detail'!$A:$A,'Forecast Chart'!$A$5&amp;B13,'Forecast Detail'!$O:$O),0)</f>
        <v>0</v>
      </c>
      <c r="O13" s="79">
        <f>IFERROR(SUMIF('Forecast Detail'!$A:$A,'Forecast Chart'!$A$5&amp;B13,'Forecast Detail'!$P:$P),0)</f>
        <v>0</v>
      </c>
      <c r="P13" s="47"/>
    </row>
    <row r="14" spans="2:17" ht="13" x14ac:dyDescent="0.25">
      <c r="B14" s="126">
        <v>5</v>
      </c>
      <c r="C14" s="199">
        <f t="shared" si="0"/>
        <v>2032</v>
      </c>
      <c r="D14" s="42"/>
      <c r="E14" s="78">
        <f>IFERROR(SUMIF('Forecast Detail'!$A:$A,'Forecast Chart'!$A$3&amp;B14,'Forecast Detail'!$M:$M),0)</f>
        <v>0</v>
      </c>
      <c r="F14" s="79">
        <f>IFERROR(SUMIF('Forecast Detail'!$A:$A,'Forecast Chart'!$A$3&amp;B14,'Forecast Detail'!$O:$O),0)</f>
        <v>0</v>
      </c>
      <c r="G14" s="79">
        <f>IFERROR(SUMIF('Forecast Detail'!$A:$A,'Forecast Chart'!$A$3&amp;B14,'Forecast Detail'!$P:$P),0)</f>
        <v>0</v>
      </c>
      <c r="I14" s="78">
        <f>IFERROR(SUMIF('Forecast Detail'!$A:$A,'Forecast Chart'!$A$4&amp;B14,'Forecast Detail'!$M:$M),0)</f>
        <v>309582.54110850429</v>
      </c>
      <c r="J14" s="79">
        <f>IFERROR(SUMIF('Forecast Detail'!$A:$A,'Forecast Chart'!$A$4&amp;B14,'Forecast Detail'!$O:$O),0)</f>
        <v>309582.54110850429</v>
      </c>
      <c r="K14" s="79">
        <f>IFERROR(SUMIF('Forecast Detail'!$A:$A,'Forecast Chart'!$A$4&amp;B14,'Forecast Detail'!$P:$P),0)</f>
        <v>154791.27055425214</v>
      </c>
      <c r="M14" s="78">
        <f>IFERROR(SUMIF('Forecast Detail'!$A:$A,'Forecast Chart'!$A$5&amp;B14,'Forecast Detail'!$M:$M),0)</f>
        <v>0</v>
      </c>
      <c r="N14" s="79">
        <f>IFERROR(SUMIF('Forecast Detail'!$A:$A,'Forecast Chart'!$A$5&amp;B14,'Forecast Detail'!$O:$O),0)</f>
        <v>0</v>
      </c>
      <c r="O14" s="79">
        <f>IFERROR(SUMIF('Forecast Detail'!$A:$A,'Forecast Chart'!$A$5&amp;B14,'Forecast Detail'!$P:$P),0)</f>
        <v>0</v>
      </c>
      <c r="P14" s="47"/>
    </row>
    <row r="15" spans="2:17" ht="13" x14ac:dyDescent="0.25">
      <c r="B15" s="126">
        <v>6</v>
      </c>
      <c r="C15" s="199">
        <f t="shared" si="0"/>
        <v>2033</v>
      </c>
      <c r="D15" s="42"/>
      <c r="E15" s="78">
        <f>IFERROR(SUMIF('Forecast Detail'!$A:$A,'Forecast Chart'!$A$3&amp;B15,'Forecast Detail'!$M:$M),0)</f>
        <v>0</v>
      </c>
      <c r="F15" s="79">
        <f>IFERROR(SUMIF('Forecast Detail'!$A:$A,'Forecast Chart'!$A$3&amp;B15,'Forecast Detail'!$O:$O),0)</f>
        <v>0</v>
      </c>
      <c r="G15" s="79">
        <f>IFERROR(SUMIF('Forecast Detail'!$A:$A,'Forecast Chart'!$A$3&amp;B15,'Forecast Detail'!$P:$P),0)</f>
        <v>0</v>
      </c>
      <c r="I15" s="78">
        <f>IFERROR(SUMIF('Forecast Detail'!$A:$A,'Forecast Chart'!$A$4&amp;B15,'Forecast Detail'!$M:$M),0)</f>
        <v>329674.44802644628</v>
      </c>
      <c r="J15" s="79">
        <f>IFERROR(SUMIF('Forecast Detail'!$A:$A,'Forecast Chart'!$A$4&amp;B15,'Forecast Detail'!$O:$O),0)</f>
        <v>329674.44802644628</v>
      </c>
      <c r="K15" s="79">
        <f>IFERROR(SUMIF('Forecast Detail'!$A:$A,'Forecast Chart'!$A$4&amp;B15,'Forecast Detail'!$P:$P),0)</f>
        <v>164837.22401322314</v>
      </c>
      <c r="M15" s="78">
        <f>IFERROR(SUMIF('Forecast Detail'!$A:$A,'Forecast Chart'!$A$5&amp;B15,'Forecast Detail'!$M:$M),0)</f>
        <v>0</v>
      </c>
      <c r="N15" s="79">
        <f>IFERROR(SUMIF('Forecast Detail'!$A:$A,'Forecast Chart'!$A$5&amp;B15,'Forecast Detail'!$O:$O),0)</f>
        <v>0</v>
      </c>
      <c r="O15" s="79">
        <f>IFERROR(SUMIF('Forecast Detail'!$A:$A,'Forecast Chart'!$A$5&amp;B15,'Forecast Detail'!$P:$P),0)</f>
        <v>0</v>
      </c>
      <c r="P15" s="47"/>
    </row>
    <row r="16" spans="2:17" ht="13" x14ac:dyDescent="0.25">
      <c r="B16" s="126">
        <v>7</v>
      </c>
      <c r="C16" s="199">
        <f t="shared" si="0"/>
        <v>2034</v>
      </c>
      <c r="D16" s="42"/>
      <c r="E16" s="78">
        <f>IFERROR(SUMIF('Forecast Detail'!$A:$A,'Forecast Chart'!$A$3&amp;B16,'Forecast Detail'!$M:$M),0)</f>
        <v>0</v>
      </c>
      <c r="F16" s="79">
        <f>IFERROR(SUMIF('Forecast Detail'!$A:$A,'Forecast Chart'!$A$3&amp;B16,'Forecast Detail'!$O:$O),0)</f>
        <v>0</v>
      </c>
      <c r="G16" s="79">
        <f>IFERROR(SUMIF('Forecast Detail'!$A:$A,'Forecast Chart'!$A$3&amp;B16,'Forecast Detail'!$P:$P),0)</f>
        <v>0</v>
      </c>
      <c r="I16" s="78">
        <f>IFERROR(SUMIF('Forecast Detail'!$A:$A,'Forecast Chart'!$A$4&amp;B16,'Forecast Detail'!$M:$M),0)</f>
        <v>351070.31970336259</v>
      </c>
      <c r="J16" s="79">
        <f>IFERROR(SUMIF('Forecast Detail'!$A:$A,'Forecast Chart'!$A$4&amp;B16,'Forecast Detail'!$O:$O),0)</f>
        <v>351070.31970336259</v>
      </c>
      <c r="K16" s="79">
        <f>IFERROR(SUMIF('Forecast Detail'!$A:$A,'Forecast Chart'!$A$4&amp;B16,'Forecast Detail'!$P:$P),0)</f>
        <v>175535.1598516813</v>
      </c>
      <c r="M16" s="78">
        <f>IFERROR(SUMIF('Forecast Detail'!$A:$A,'Forecast Chart'!$A$5&amp;B16,'Forecast Detail'!$M:$M),0)</f>
        <v>0</v>
      </c>
      <c r="N16" s="79">
        <f>IFERROR(SUMIF('Forecast Detail'!$A:$A,'Forecast Chart'!$A$5&amp;B16,'Forecast Detail'!$O:$O),0)</f>
        <v>0</v>
      </c>
      <c r="O16" s="79">
        <f>IFERROR(SUMIF('Forecast Detail'!$A:$A,'Forecast Chart'!$A$5&amp;B16,'Forecast Detail'!$P:$P),0)</f>
        <v>0</v>
      </c>
      <c r="P16" s="47"/>
    </row>
    <row r="17" spans="2:16" ht="13" x14ac:dyDescent="0.25">
      <c r="B17" s="126">
        <v>8</v>
      </c>
      <c r="C17" s="199">
        <f t="shared" si="0"/>
        <v>2035</v>
      </c>
      <c r="D17" s="42"/>
      <c r="E17" s="78">
        <f>IFERROR(SUMIF('Forecast Detail'!$A:$A,'Forecast Chart'!$A$3&amp;B17,'Forecast Detail'!$M:$M),0)</f>
        <v>0</v>
      </c>
      <c r="F17" s="79">
        <f>IFERROR(SUMIF('Forecast Detail'!$A:$A,'Forecast Chart'!$A$3&amp;B17,'Forecast Detail'!$O:$O),0)</f>
        <v>0</v>
      </c>
      <c r="G17" s="79">
        <f>IFERROR(SUMIF('Forecast Detail'!$A:$A,'Forecast Chart'!$A$3&amp;B17,'Forecast Detail'!$P:$P),0)</f>
        <v>0</v>
      </c>
      <c r="I17" s="78">
        <f>IFERROR(SUMIF('Forecast Detail'!$A:$A,'Forecast Chart'!$A$4&amp;B17,'Forecast Detail'!$M:$M),0)</f>
        <v>373854.78345211077</v>
      </c>
      <c r="J17" s="79">
        <f>IFERROR(SUMIF('Forecast Detail'!$A:$A,'Forecast Chart'!$A$4&amp;B17,'Forecast Detail'!$O:$O),0)</f>
        <v>373854.78345211077</v>
      </c>
      <c r="K17" s="79">
        <f>IFERROR(SUMIF('Forecast Detail'!$A:$A,'Forecast Chart'!$A$4&amp;B17,'Forecast Detail'!$P:$P),0)</f>
        <v>186927.39172605539</v>
      </c>
      <c r="M17" s="78">
        <f>IFERROR(SUMIF('Forecast Detail'!$A:$A,'Forecast Chart'!$A$5&amp;B17,'Forecast Detail'!$M:$M),0)</f>
        <v>0</v>
      </c>
      <c r="N17" s="79">
        <f>IFERROR(SUMIF('Forecast Detail'!$A:$A,'Forecast Chart'!$A$5&amp;B17,'Forecast Detail'!$O:$O),0)</f>
        <v>0</v>
      </c>
      <c r="O17" s="79">
        <f>IFERROR(SUMIF('Forecast Detail'!$A:$A,'Forecast Chart'!$A$5&amp;B17,'Forecast Detail'!$P:$P),0)</f>
        <v>0</v>
      </c>
      <c r="P17" s="47"/>
    </row>
    <row r="18" spans="2:16" ht="13" x14ac:dyDescent="0.25">
      <c r="B18" s="126">
        <v>9</v>
      </c>
      <c r="C18" s="199">
        <f t="shared" si="0"/>
        <v>2036</v>
      </c>
      <c r="D18" s="42"/>
      <c r="E18" s="78">
        <f>IFERROR(SUMIF('Forecast Detail'!$A:$A,'Forecast Chart'!$A$3&amp;B18,'Forecast Detail'!$M:$M),0)</f>
        <v>0</v>
      </c>
      <c r="F18" s="79">
        <f>IFERROR(SUMIF('Forecast Detail'!$A:$A,'Forecast Chart'!$A$3&amp;B18,'Forecast Detail'!$O:$O),0)</f>
        <v>0</v>
      </c>
      <c r="G18" s="79">
        <f>IFERROR(SUMIF('Forecast Detail'!$A:$A,'Forecast Chart'!$A$3&amp;B18,'Forecast Detail'!$P:$P),0)</f>
        <v>0</v>
      </c>
      <c r="I18" s="78">
        <f>IFERROR(SUMIF('Forecast Detail'!$A:$A,'Forecast Chart'!$A$4&amp;B18,'Forecast Detail'!$M:$M),0)</f>
        <v>398117.95889815275</v>
      </c>
      <c r="J18" s="79">
        <f>IFERROR(SUMIF('Forecast Detail'!$A:$A,'Forecast Chart'!$A$4&amp;B18,'Forecast Detail'!$O:$O),0)</f>
        <v>398117.95889815275</v>
      </c>
      <c r="K18" s="79">
        <f>IFERROR(SUMIF('Forecast Detail'!$A:$A,'Forecast Chart'!$A$4&amp;B18,'Forecast Detail'!$P:$P),0)</f>
        <v>199058.97944907637</v>
      </c>
      <c r="M18" s="78">
        <f>IFERROR(SUMIF('Forecast Detail'!$A:$A,'Forecast Chart'!$A$5&amp;B18,'Forecast Detail'!$M:$M),0)</f>
        <v>0</v>
      </c>
      <c r="N18" s="79">
        <f>IFERROR(SUMIF('Forecast Detail'!$A:$A,'Forecast Chart'!$A$5&amp;B18,'Forecast Detail'!$O:$O),0)</f>
        <v>0</v>
      </c>
      <c r="O18" s="79">
        <f>IFERROR(SUMIF('Forecast Detail'!$A:$A,'Forecast Chart'!$A$5&amp;B18,'Forecast Detail'!$P:$P),0)</f>
        <v>0</v>
      </c>
      <c r="P18" s="47"/>
    </row>
    <row r="19" spans="2:16" ht="13" x14ac:dyDescent="0.25">
      <c r="B19" s="126">
        <v>10</v>
      </c>
      <c r="C19" s="199">
        <f t="shared" si="0"/>
        <v>2037</v>
      </c>
      <c r="D19" s="42"/>
      <c r="E19" s="78">
        <f>IFERROR(SUMIF('Forecast Detail'!$A:$A,'Forecast Chart'!$A$3&amp;B19,'Forecast Detail'!$M:$M),0)</f>
        <v>0</v>
      </c>
      <c r="F19" s="79">
        <f>IFERROR(SUMIF('Forecast Detail'!$A:$A,'Forecast Chart'!$A$3&amp;B19,'Forecast Detail'!$O:$O),0)</f>
        <v>0</v>
      </c>
      <c r="G19" s="79">
        <f>IFERROR(SUMIF('Forecast Detail'!$A:$A,'Forecast Chart'!$A$3&amp;B19,'Forecast Detail'!$P:$P),0)</f>
        <v>0</v>
      </c>
      <c r="I19" s="78">
        <f>IFERROR(SUMIF('Forecast Detail'!$A:$A,'Forecast Chart'!$A$4&amp;B19,'Forecast Detail'!$M:$M),0)</f>
        <v>423955.81443064287</v>
      </c>
      <c r="J19" s="79">
        <f>IFERROR(SUMIF('Forecast Detail'!$A:$A,'Forecast Chart'!$A$4&amp;B19,'Forecast Detail'!$O:$O),0)</f>
        <v>423955.81443064287</v>
      </c>
      <c r="K19" s="79">
        <f>IFERROR(SUMIF('Forecast Detail'!$A:$A,'Forecast Chart'!$A$4&amp;B19,'Forecast Detail'!$P:$P),0)</f>
        <v>211977.90721532144</v>
      </c>
      <c r="M19" s="78">
        <f>IFERROR(SUMIF('Forecast Detail'!$A:$A,'Forecast Chart'!$A$5&amp;B19,'Forecast Detail'!$M:$M),0)</f>
        <v>0</v>
      </c>
      <c r="N19" s="79">
        <f>IFERROR(SUMIF('Forecast Detail'!$A:$A,'Forecast Chart'!$A$5&amp;B19,'Forecast Detail'!$O:$O),0)</f>
        <v>0</v>
      </c>
      <c r="O19" s="79">
        <f>IFERROR(SUMIF('Forecast Detail'!$A:$A,'Forecast Chart'!$A$5&amp;B19,'Forecast Detail'!$P:$P),0)</f>
        <v>0</v>
      </c>
      <c r="P19" s="47"/>
    </row>
    <row r="20" spans="2:16" ht="13" x14ac:dyDescent="0.25">
      <c r="B20" s="126">
        <v>11</v>
      </c>
      <c r="C20" s="199">
        <f t="shared" si="0"/>
        <v>2038</v>
      </c>
      <c r="D20" s="42"/>
      <c r="E20" s="78">
        <f>IFERROR(SUMIF('Forecast Detail'!$A:$A,'Forecast Chart'!$A$3&amp;B20,'Forecast Detail'!$M:$M),0)</f>
        <v>0</v>
      </c>
      <c r="F20" s="79">
        <f>IFERROR(SUMIF('Forecast Detail'!$A:$A,'Forecast Chart'!$A$3&amp;B20,'Forecast Detail'!$O:$O),0)</f>
        <v>0</v>
      </c>
      <c r="G20" s="79">
        <f>IFERROR(SUMIF('Forecast Detail'!$A:$A,'Forecast Chart'!$A$3&amp;B20,'Forecast Detail'!$P:$P),0)</f>
        <v>0</v>
      </c>
      <c r="I20" s="78">
        <f>IFERROR(SUMIF('Forecast Detail'!$A:$A,'Forecast Chart'!$A$4&amp;B20,'Forecast Detail'!$M:$M),0)</f>
        <v>451470.54678719153</v>
      </c>
      <c r="J20" s="79">
        <f>IFERROR(SUMIF('Forecast Detail'!$A:$A,'Forecast Chart'!$A$4&amp;B20,'Forecast Detail'!$O:$O),0)</f>
        <v>451470.54678719153</v>
      </c>
      <c r="K20" s="79">
        <f>IFERROR(SUMIF('Forecast Detail'!$A:$A,'Forecast Chart'!$A$4&amp;B20,'Forecast Detail'!$P:$P),0)</f>
        <v>225735.27339359577</v>
      </c>
      <c r="M20" s="78">
        <f>IFERROR(SUMIF('Forecast Detail'!$A:$A,'Forecast Chart'!$A$5&amp;B20,'Forecast Detail'!$M:$M),0)</f>
        <v>0</v>
      </c>
      <c r="N20" s="79">
        <f>IFERROR(SUMIF('Forecast Detail'!$A:$A,'Forecast Chart'!$A$5&amp;B20,'Forecast Detail'!$O:$O),0)</f>
        <v>0</v>
      </c>
      <c r="O20" s="79">
        <f>IFERROR(SUMIF('Forecast Detail'!$A:$A,'Forecast Chart'!$A$5&amp;B20,'Forecast Detail'!$P:$P),0)</f>
        <v>0</v>
      </c>
      <c r="P20" s="47"/>
    </row>
    <row r="21" spans="2:16" ht="13" x14ac:dyDescent="0.25">
      <c r="B21" s="126">
        <v>12</v>
      </c>
      <c r="C21" s="199">
        <f t="shared" si="0"/>
        <v>2039</v>
      </c>
      <c r="D21" s="42"/>
      <c r="E21" s="78">
        <f>IFERROR(SUMIF('Forecast Detail'!$A:$A,'Forecast Chart'!$A$3&amp;B21,'Forecast Detail'!$M:$M),0)</f>
        <v>0</v>
      </c>
      <c r="F21" s="79">
        <f>IFERROR(SUMIF('Forecast Detail'!$A:$A,'Forecast Chart'!$A$3&amp;B21,'Forecast Detail'!$O:$O),0)</f>
        <v>0</v>
      </c>
      <c r="G21" s="79">
        <f>IFERROR(SUMIF('Forecast Detail'!$A:$A,'Forecast Chart'!$A$3&amp;B21,'Forecast Detail'!$P:$P),0)</f>
        <v>0</v>
      </c>
      <c r="I21" s="78">
        <f>IFERROR(SUMIF('Forecast Detail'!$A:$A,'Forecast Chart'!$A$4&amp;B21,'Forecast Detail'!$M:$M),0)</f>
        <v>480770.9852736803</v>
      </c>
      <c r="J21" s="79">
        <f>IFERROR(SUMIF('Forecast Detail'!$A:$A,'Forecast Chart'!$A$4&amp;B21,'Forecast Detail'!$O:$O),0)</f>
        <v>480770.9852736803</v>
      </c>
      <c r="K21" s="79">
        <f>IFERROR(SUMIF('Forecast Detail'!$A:$A,'Forecast Chart'!$A$4&amp;B21,'Forecast Detail'!$P:$P),0)</f>
        <v>240385.49263684015</v>
      </c>
      <c r="M21" s="78">
        <f>IFERROR(SUMIF('Forecast Detail'!$A:$A,'Forecast Chart'!$A$5&amp;B21,'Forecast Detail'!$M:$M),0)</f>
        <v>0</v>
      </c>
      <c r="N21" s="79">
        <f>IFERROR(SUMIF('Forecast Detail'!$A:$A,'Forecast Chart'!$A$5&amp;B21,'Forecast Detail'!$O:$O),0)</f>
        <v>0</v>
      </c>
      <c r="O21" s="79">
        <f>IFERROR(SUMIF('Forecast Detail'!$A:$A,'Forecast Chart'!$A$5&amp;B21,'Forecast Detail'!$P:$P),0)</f>
        <v>0</v>
      </c>
      <c r="P21" s="47"/>
    </row>
    <row r="22" spans="2:16" ht="13" x14ac:dyDescent="0.25">
      <c r="B22" s="126">
        <v>13</v>
      </c>
      <c r="C22" s="199">
        <f t="shared" si="0"/>
        <v>2040</v>
      </c>
      <c r="D22" s="42"/>
      <c r="E22" s="78">
        <f>IFERROR(SUMIF('Forecast Detail'!$A:$A,'Forecast Chart'!$A$3&amp;B22,'Forecast Detail'!$M:$M),0)</f>
        <v>0</v>
      </c>
      <c r="F22" s="79">
        <f>IFERROR(SUMIF('Forecast Detail'!$A:$A,'Forecast Chart'!$A$3&amp;B22,'Forecast Detail'!$O:$O),0)</f>
        <v>0</v>
      </c>
      <c r="G22" s="79">
        <f>IFERROR(SUMIF('Forecast Detail'!$A:$A,'Forecast Chart'!$A$3&amp;B22,'Forecast Detail'!$P:$P),0)</f>
        <v>0</v>
      </c>
      <c r="I22" s="78">
        <f>IFERROR(SUMIF('Forecast Detail'!$A:$A,'Forecast Chart'!$A$4&amp;B22,'Forecast Detail'!$M:$M),0)</f>
        <v>511973.02221794211</v>
      </c>
      <c r="J22" s="79">
        <f>IFERROR(SUMIF('Forecast Detail'!$A:$A,'Forecast Chart'!$A$4&amp;B22,'Forecast Detail'!$O:$O),0)</f>
        <v>511973.02221794211</v>
      </c>
      <c r="K22" s="79">
        <f>IFERROR(SUMIF('Forecast Detail'!$A:$A,'Forecast Chart'!$A$4&amp;B22,'Forecast Detail'!$P:$P),0)</f>
        <v>255986.51110897106</v>
      </c>
      <c r="M22" s="78">
        <f>IFERROR(SUMIF('Forecast Detail'!$A:$A,'Forecast Chart'!$A$5&amp;B22,'Forecast Detail'!$M:$M),0)</f>
        <v>0</v>
      </c>
      <c r="N22" s="79">
        <f>IFERROR(SUMIF('Forecast Detail'!$A:$A,'Forecast Chart'!$A$5&amp;B22,'Forecast Detail'!$O:$O),0)</f>
        <v>0</v>
      </c>
      <c r="O22" s="79">
        <f>IFERROR(SUMIF('Forecast Detail'!$A:$A,'Forecast Chart'!$A$5&amp;B22,'Forecast Detail'!$P:$P),0)</f>
        <v>0</v>
      </c>
      <c r="P22" s="47"/>
    </row>
    <row r="23" spans="2:16" ht="13" x14ac:dyDescent="0.25">
      <c r="B23" s="126">
        <v>14</v>
      </c>
      <c r="C23" s="199">
        <f t="shared" si="0"/>
        <v>2041</v>
      </c>
      <c r="D23" s="42"/>
      <c r="E23" s="78">
        <f>IFERROR(SUMIF('Forecast Detail'!$A:$A,'Forecast Chart'!$A$3&amp;B23,'Forecast Detail'!$M:$M),0)</f>
        <v>0</v>
      </c>
      <c r="F23" s="79">
        <f>IFERROR(SUMIF('Forecast Detail'!$A:$A,'Forecast Chart'!$A$3&amp;B23,'Forecast Detail'!$O:$O),0)</f>
        <v>0</v>
      </c>
      <c r="G23" s="79">
        <f>IFERROR(SUMIF('Forecast Detail'!$A:$A,'Forecast Chart'!$A$3&amp;B23,'Forecast Detail'!$P:$P),0)</f>
        <v>0</v>
      </c>
      <c r="I23" s="78">
        <f>IFERROR(SUMIF('Forecast Detail'!$A:$A,'Forecast Chart'!$A$4&amp;B23,'Forecast Detail'!$M:$M),0)</f>
        <v>545200.07135988656</v>
      </c>
      <c r="J23" s="79">
        <f>IFERROR(SUMIF('Forecast Detail'!$A:$A,'Forecast Chart'!$A$4&amp;B23,'Forecast Detail'!$O:$O),0)</f>
        <v>545200.07135988656</v>
      </c>
      <c r="K23" s="79">
        <f>IFERROR(SUMIF('Forecast Detail'!$A:$A,'Forecast Chart'!$A$4&amp;B23,'Forecast Detail'!$P:$P),0)</f>
        <v>272600.03567994328</v>
      </c>
      <c r="M23" s="78">
        <f>IFERROR(SUMIF('Forecast Detail'!$A:$A,'Forecast Chart'!$A$5&amp;B23,'Forecast Detail'!$M:$M),0)</f>
        <v>0</v>
      </c>
      <c r="N23" s="79">
        <f>IFERROR(SUMIF('Forecast Detail'!$A:$A,'Forecast Chart'!$A$5&amp;B23,'Forecast Detail'!$O:$O),0)</f>
        <v>0</v>
      </c>
      <c r="O23" s="79">
        <f>IFERROR(SUMIF('Forecast Detail'!$A:$A,'Forecast Chart'!$A$5&amp;B23,'Forecast Detail'!$P:$P),0)</f>
        <v>0</v>
      </c>
      <c r="P23" s="47"/>
    </row>
    <row r="24" spans="2:16" ht="13" x14ac:dyDescent="0.25">
      <c r="B24" s="126">
        <v>15</v>
      </c>
      <c r="C24" s="199">
        <f t="shared" si="0"/>
        <v>2042</v>
      </c>
      <c r="D24" s="42"/>
      <c r="E24" s="78">
        <f>IFERROR(SUMIF('Forecast Detail'!$A:$A,'Forecast Chart'!$A$3&amp;B24,'Forecast Detail'!$M:$M),0)</f>
        <v>0</v>
      </c>
      <c r="F24" s="79">
        <f>IFERROR(SUMIF('Forecast Detail'!$A:$A,'Forecast Chart'!$A$3&amp;B24,'Forecast Detail'!$O:$O),0)</f>
        <v>0</v>
      </c>
      <c r="G24" s="79">
        <f>IFERROR(SUMIF('Forecast Detail'!$A:$A,'Forecast Chart'!$A$3&amp;B24,'Forecast Detail'!$P:$P),0)</f>
        <v>0</v>
      </c>
      <c r="I24" s="78">
        <f>IFERROR(SUMIF('Forecast Detail'!$A:$A,'Forecast Chart'!$A$4&amp;B24,'Forecast Detail'!$M:$M),0)</f>
        <v>580583.5559911431</v>
      </c>
      <c r="J24" s="79">
        <f>IFERROR(SUMIF('Forecast Detail'!$A:$A,'Forecast Chart'!$A$4&amp;B24,'Forecast Detail'!$O:$O),0)</f>
        <v>580583.5559911431</v>
      </c>
      <c r="K24" s="79">
        <f>IFERROR(SUMIF('Forecast Detail'!$A:$A,'Forecast Chart'!$A$4&amp;B24,'Forecast Detail'!$P:$P),0)</f>
        <v>290291.77799557155</v>
      </c>
      <c r="M24" s="78">
        <f>IFERROR(SUMIF('Forecast Detail'!$A:$A,'Forecast Chart'!$A$5&amp;B24,'Forecast Detail'!$M:$M),0)</f>
        <v>0</v>
      </c>
      <c r="N24" s="79">
        <f>IFERROR(SUMIF('Forecast Detail'!$A:$A,'Forecast Chart'!$A$5&amp;B24,'Forecast Detail'!$O:$O),0)</f>
        <v>0</v>
      </c>
      <c r="O24" s="79">
        <f>IFERROR(SUMIF('Forecast Detail'!$A:$A,'Forecast Chart'!$A$5&amp;B24,'Forecast Detail'!$P:$P),0)</f>
        <v>0</v>
      </c>
      <c r="P24" s="47"/>
    </row>
    <row r="25" spans="2:16" ht="13" x14ac:dyDescent="0.25">
      <c r="B25" s="126">
        <v>16</v>
      </c>
      <c r="C25" s="199">
        <f t="shared" si="0"/>
        <v>2043</v>
      </c>
      <c r="D25" s="42"/>
      <c r="E25" s="78">
        <f>IFERROR(SUMIF('Forecast Detail'!$A:$A,'Forecast Chart'!$A$3&amp;B25,'Forecast Detail'!$M:$M),0)</f>
        <v>0</v>
      </c>
      <c r="F25" s="79">
        <f>IFERROR(SUMIF('Forecast Detail'!$A:$A,'Forecast Chart'!$A$3&amp;B25,'Forecast Detail'!$O:$O),0)</f>
        <v>0</v>
      </c>
      <c r="G25" s="79">
        <f>IFERROR(SUMIF('Forecast Detail'!$A:$A,'Forecast Chart'!$A$3&amp;B25,'Forecast Detail'!$P:$P),0)</f>
        <v>0</v>
      </c>
      <c r="I25" s="78">
        <f>IFERROR(SUMIF('Forecast Detail'!$A:$A,'Forecast Chart'!$A$4&amp;B25,'Forecast Detail'!$M:$M),0)</f>
        <v>618263.42877496826</v>
      </c>
      <c r="J25" s="79">
        <f>IFERROR(SUMIF('Forecast Detail'!$A:$A,'Forecast Chart'!$A$4&amp;B25,'Forecast Detail'!$O:$O),0)</f>
        <v>618263.42877496826</v>
      </c>
      <c r="K25" s="79">
        <f>IFERROR(SUMIF('Forecast Detail'!$A:$A,'Forecast Chart'!$A$4&amp;B25,'Forecast Detail'!$P:$P),0)</f>
        <v>309131.71438748413</v>
      </c>
      <c r="M25" s="78">
        <f>IFERROR(SUMIF('Forecast Detail'!$A:$A,'Forecast Chart'!$A$5&amp;B25,'Forecast Detail'!$M:$M),0)</f>
        <v>0</v>
      </c>
      <c r="N25" s="79">
        <f>IFERROR(SUMIF('Forecast Detail'!$A:$A,'Forecast Chart'!$A$5&amp;B25,'Forecast Detail'!$O:$O),0)</f>
        <v>0</v>
      </c>
      <c r="O25" s="79">
        <f>IFERROR(SUMIF('Forecast Detail'!$A:$A,'Forecast Chart'!$A$5&amp;B25,'Forecast Detail'!$P:$P),0)</f>
        <v>0</v>
      </c>
      <c r="P25" s="47"/>
    </row>
    <row r="26" spans="2:16" ht="13" x14ac:dyDescent="0.25">
      <c r="B26" s="126">
        <v>17</v>
      </c>
      <c r="C26" s="199">
        <f t="shared" si="0"/>
        <v>2044</v>
      </c>
      <c r="D26" s="42"/>
      <c r="E26" s="78">
        <f>IFERROR(SUMIF('Forecast Detail'!$A:$A,'Forecast Chart'!$A$3&amp;B26,'Forecast Detail'!$M:$M),0)</f>
        <v>0</v>
      </c>
      <c r="F26" s="79">
        <f>IFERROR(SUMIF('Forecast Detail'!$A:$A,'Forecast Chart'!$A$3&amp;B26,'Forecast Detail'!$O:$O),0)</f>
        <v>0</v>
      </c>
      <c r="G26" s="79">
        <f>IFERROR(SUMIF('Forecast Detail'!$A:$A,'Forecast Chart'!$A$3&amp;B26,'Forecast Detail'!$P:$P),0)</f>
        <v>0</v>
      </c>
      <c r="I26" s="78">
        <f>IFERROR(SUMIF('Forecast Detail'!$A:$A,'Forecast Chart'!$A$4&amp;B26,'Forecast Detail'!$M:$M),0)</f>
        <v>658388.72530246375</v>
      </c>
      <c r="J26" s="79">
        <f>IFERROR(SUMIF('Forecast Detail'!$A:$A,'Forecast Chart'!$A$4&amp;B26,'Forecast Detail'!$O:$O),0)</f>
        <v>658388.72530246375</v>
      </c>
      <c r="K26" s="79">
        <f>IFERROR(SUMIF('Forecast Detail'!$A:$A,'Forecast Chart'!$A$4&amp;B26,'Forecast Detail'!$P:$P),0)</f>
        <v>329194.36265123187</v>
      </c>
      <c r="M26" s="78">
        <f>IFERROR(SUMIF('Forecast Detail'!$A:$A,'Forecast Chart'!$A$5&amp;B26,'Forecast Detail'!$M:$M),0)</f>
        <v>0</v>
      </c>
      <c r="N26" s="79">
        <f>IFERROR(SUMIF('Forecast Detail'!$A:$A,'Forecast Chart'!$A$5&amp;B26,'Forecast Detail'!$O:$O),0)</f>
        <v>0</v>
      </c>
      <c r="O26" s="79">
        <f>IFERROR(SUMIF('Forecast Detail'!$A:$A,'Forecast Chart'!$A$5&amp;B26,'Forecast Detail'!$P:$P),0)</f>
        <v>0</v>
      </c>
      <c r="P26" s="47"/>
    </row>
    <row r="27" spans="2:16" ht="13" x14ac:dyDescent="0.25">
      <c r="B27" s="126">
        <v>18</v>
      </c>
      <c r="C27" s="199">
        <f t="shared" si="0"/>
        <v>2045</v>
      </c>
      <c r="D27" s="42"/>
      <c r="E27" s="78">
        <f>IFERROR(SUMIF('Forecast Detail'!$A:$A,'Forecast Chart'!$A$3&amp;B27,'Forecast Detail'!$M:$M),0)</f>
        <v>0</v>
      </c>
      <c r="F27" s="79">
        <f>IFERROR(SUMIF('Forecast Detail'!$A:$A,'Forecast Chart'!$A$3&amp;B27,'Forecast Detail'!$O:$O),0)</f>
        <v>0</v>
      </c>
      <c r="G27" s="79">
        <f>IFERROR(SUMIF('Forecast Detail'!$A:$A,'Forecast Chart'!$A$3&amp;B27,'Forecast Detail'!$P:$P),0)</f>
        <v>0</v>
      </c>
      <c r="I27" s="78">
        <f>IFERROR(SUMIF('Forecast Detail'!$A:$A,'Forecast Chart'!$A$4&amp;B27,'Forecast Detail'!$M:$M),0)</f>
        <v>701118.1535745936</v>
      </c>
      <c r="J27" s="79">
        <f>IFERROR(SUMIF('Forecast Detail'!$A:$A,'Forecast Chart'!$A$4&amp;B27,'Forecast Detail'!$O:$O),0)</f>
        <v>701118.1535745936</v>
      </c>
      <c r="K27" s="79">
        <f>IFERROR(SUMIF('Forecast Detail'!$A:$A,'Forecast Chart'!$A$4&amp;B27,'Forecast Detail'!$P:$P),0)</f>
        <v>350559.0767872968</v>
      </c>
      <c r="M27" s="78">
        <f>IFERROR(SUMIF('Forecast Detail'!$A:$A,'Forecast Chart'!$A$5&amp;B27,'Forecast Detail'!$M:$M),0)</f>
        <v>0</v>
      </c>
      <c r="N27" s="79">
        <f>IFERROR(SUMIF('Forecast Detail'!$A:$A,'Forecast Chart'!$A$5&amp;B27,'Forecast Detail'!$O:$O),0)</f>
        <v>0</v>
      </c>
      <c r="O27" s="79">
        <f>IFERROR(SUMIF('Forecast Detail'!$A:$A,'Forecast Chart'!$A$5&amp;B27,'Forecast Detail'!$P:$P),0)</f>
        <v>0</v>
      </c>
      <c r="P27" s="47"/>
    </row>
    <row r="28" spans="2:16" ht="13" x14ac:dyDescent="0.25">
      <c r="B28" s="126">
        <v>19</v>
      </c>
      <c r="C28" s="199">
        <f t="shared" si="0"/>
        <v>2046</v>
      </c>
      <c r="D28" s="42"/>
      <c r="E28" s="78">
        <f>IFERROR(SUMIF('Forecast Detail'!$A:$A,'Forecast Chart'!$A$3&amp;B28,'Forecast Detail'!$M:$M),0)</f>
        <v>0</v>
      </c>
      <c r="F28" s="79">
        <f>IFERROR(SUMIF('Forecast Detail'!$A:$A,'Forecast Chart'!$A$3&amp;B28,'Forecast Detail'!$O:$O),0)</f>
        <v>0</v>
      </c>
      <c r="G28" s="79">
        <f>IFERROR(SUMIF('Forecast Detail'!$A:$A,'Forecast Chart'!$A$3&amp;B28,'Forecast Detail'!$P:$P),0)</f>
        <v>0</v>
      </c>
      <c r="I28" s="78">
        <f>IFERROR(SUMIF('Forecast Detail'!$A:$A,'Forecast Chart'!$A$4&amp;B28,'Forecast Detail'!$M:$M),0)</f>
        <v>746620.7217415846</v>
      </c>
      <c r="J28" s="79">
        <f>IFERROR(SUMIF('Forecast Detail'!$A:$A,'Forecast Chart'!$A$4&amp;B28,'Forecast Detail'!$O:$O),0)</f>
        <v>746620.7217415846</v>
      </c>
      <c r="K28" s="79">
        <f>IFERROR(SUMIF('Forecast Detail'!$A:$A,'Forecast Chart'!$A$4&amp;B28,'Forecast Detail'!$P:$P),0)</f>
        <v>373310.3608707923</v>
      </c>
      <c r="M28" s="78">
        <f>IFERROR(SUMIF('Forecast Detail'!$A:$A,'Forecast Chart'!$A$5&amp;B28,'Forecast Detail'!$M:$M),0)</f>
        <v>0</v>
      </c>
      <c r="N28" s="79">
        <f>IFERROR(SUMIF('Forecast Detail'!$A:$A,'Forecast Chart'!$A$5&amp;B28,'Forecast Detail'!$O:$O),0)</f>
        <v>0</v>
      </c>
      <c r="O28" s="79">
        <f>IFERROR(SUMIF('Forecast Detail'!$A:$A,'Forecast Chart'!$A$5&amp;B28,'Forecast Detail'!$P:$P),0)</f>
        <v>0</v>
      </c>
      <c r="P28" s="47"/>
    </row>
    <row r="29" spans="2:16" ht="13" x14ac:dyDescent="0.25">
      <c r="B29" s="126">
        <v>20</v>
      </c>
      <c r="C29" s="199">
        <f t="shared" si="0"/>
        <v>2047</v>
      </c>
      <c r="D29" s="42"/>
      <c r="E29" s="78">
        <f>IFERROR(SUMIF('Forecast Detail'!$A:$A,'Forecast Chart'!$A$3&amp;B29,'Forecast Detail'!$M:$M),0)</f>
        <v>0</v>
      </c>
      <c r="F29" s="79">
        <f>IFERROR(SUMIF('Forecast Detail'!$A:$A,'Forecast Chart'!$A$3&amp;B29,'Forecast Detail'!$O:$O),0)</f>
        <v>0</v>
      </c>
      <c r="G29" s="79">
        <f>IFERROR(SUMIF('Forecast Detail'!$A:$A,'Forecast Chart'!$A$3&amp;B29,'Forecast Detail'!$P:$P),0)</f>
        <v>0</v>
      </c>
      <c r="I29" s="78">
        <f>IFERROR(SUMIF('Forecast Detail'!$A:$A,'Forecast Chart'!$A$4&amp;B29,'Forecast Detail'!$M:$M),0)</f>
        <v>795076.40658261348</v>
      </c>
      <c r="J29" s="79">
        <f>IFERROR(SUMIF('Forecast Detail'!$A:$A,'Forecast Chart'!$A$4&amp;B29,'Forecast Detail'!$O:$O),0)</f>
        <v>795076.40658261348</v>
      </c>
      <c r="K29" s="79">
        <f>IFERROR(SUMIF('Forecast Detail'!$A:$A,'Forecast Chart'!$A$4&amp;B29,'Forecast Detail'!$P:$P),0)</f>
        <v>397538.20329130674</v>
      </c>
      <c r="M29" s="78">
        <f>IFERROR(SUMIF('Forecast Detail'!$A:$A,'Forecast Chart'!$A$5&amp;B29,'Forecast Detail'!$M:$M),0)</f>
        <v>0</v>
      </c>
      <c r="N29" s="79">
        <f>IFERROR(SUMIF('Forecast Detail'!$A:$A,'Forecast Chart'!$A$5&amp;B29,'Forecast Detail'!$O:$O),0)</f>
        <v>0</v>
      </c>
      <c r="O29" s="79">
        <f>IFERROR(SUMIF('Forecast Detail'!$A:$A,'Forecast Chart'!$A$5&amp;B29,'Forecast Detail'!$P:$P),0)</f>
        <v>0</v>
      </c>
      <c r="P29" s="47"/>
    </row>
    <row r="30" spans="2:16" ht="13" x14ac:dyDescent="0.25">
      <c r="B30" s="126">
        <v>21</v>
      </c>
      <c r="C30" s="199">
        <f t="shared" si="0"/>
        <v>2048</v>
      </c>
      <c r="D30" s="42"/>
      <c r="E30" s="78">
        <f>IFERROR(SUMIF('Forecast Detail'!$A:$A,'Forecast Chart'!$A$3&amp;B30,'Forecast Detail'!$M:$M),0)</f>
        <v>0</v>
      </c>
      <c r="F30" s="79">
        <f>IFERROR(SUMIF('Forecast Detail'!$A:$A,'Forecast Chart'!$A$3&amp;B30,'Forecast Detail'!$O:$O),0)</f>
        <v>0</v>
      </c>
      <c r="G30" s="79">
        <f>IFERROR(SUMIF('Forecast Detail'!$A:$A,'Forecast Chart'!$A$3&amp;B30,'Forecast Detail'!$P:$P),0)</f>
        <v>0</v>
      </c>
      <c r="I30" s="78">
        <f>IFERROR(SUMIF('Forecast Detail'!$A:$A,'Forecast Chart'!$A$4&amp;B30,'Forecast Detail'!$M:$M),0)</f>
        <v>846676.86536982493</v>
      </c>
      <c r="J30" s="79">
        <f>IFERROR(SUMIF('Forecast Detail'!$A:$A,'Forecast Chart'!$A$4&amp;B30,'Forecast Detail'!$O:$O),0)</f>
        <v>846676.86536982493</v>
      </c>
      <c r="K30" s="79">
        <f>IFERROR(SUMIF('Forecast Detail'!$A:$A,'Forecast Chart'!$A$4&amp;B30,'Forecast Detail'!$P:$P),0)</f>
        <v>423338.43268491246</v>
      </c>
      <c r="M30" s="78">
        <f>IFERROR(SUMIF('Forecast Detail'!$A:$A,'Forecast Chart'!$A$5&amp;B30,'Forecast Detail'!$M:$M),0)</f>
        <v>0</v>
      </c>
      <c r="N30" s="79">
        <f>IFERROR(SUMIF('Forecast Detail'!$A:$A,'Forecast Chart'!$A$5&amp;B30,'Forecast Detail'!$O:$O),0)</f>
        <v>0</v>
      </c>
      <c r="O30" s="79">
        <f>IFERROR(SUMIF('Forecast Detail'!$A:$A,'Forecast Chart'!$A$5&amp;B30,'Forecast Detail'!$P:$P),0)</f>
        <v>0</v>
      </c>
      <c r="P30" s="47"/>
    </row>
    <row r="31" spans="2:16" ht="13" x14ac:dyDescent="0.25">
      <c r="B31" s="126">
        <v>22</v>
      </c>
      <c r="C31" s="199">
        <f t="shared" si="0"/>
        <v>2049</v>
      </c>
      <c r="D31" s="42"/>
      <c r="E31" s="78">
        <f>IFERROR(SUMIF('Forecast Detail'!$A:$A,'Forecast Chart'!$A$3&amp;B31,'Forecast Detail'!$M:$M),0)</f>
        <v>0</v>
      </c>
      <c r="F31" s="79">
        <f>IFERROR(SUMIF('Forecast Detail'!$A:$A,'Forecast Chart'!$A$3&amp;B31,'Forecast Detail'!$O:$O),0)</f>
        <v>0</v>
      </c>
      <c r="G31" s="79">
        <f>IFERROR(SUMIF('Forecast Detail'!$A:$A,'Forecast Chart'!$A$3&amp;B31,'Forecast Detail'!$P:$P),0)</f>
        <v>0</v>
      </c>
      <c r="I31" s="78">
        <f>IFERROR(SUMIF('Forecast Detail'!$A:$A,'Forecast Chart'!$A$4&amp;B31,'Forecast Detail'!$M:$M),0)</f>
        <v>901626.19393232651</v>
      </c>
      <c r="J31" s="79">
        <f>IFERROR(SUMIF('Forecast Detail'!$A:$A,'Forecast Chart'!$A$4&amp;B31,'Forecast Detail'!$O:$O),0)</f>
        <v>901626.19393232651</v>
      </c>
      <c r="K31" s="79">
        <f>IFERROR(SUMIF('Forecast Detail'!$A:$A,'Forecast Chart'!$A$4&amp;B31,'Forecast Detail'!$P:$P),0)</f>
        <v>450813.09696616326</v>
      </c>
      <c r="M31" s="78">
        <f>IFERROR(SUMIF('Forecast Detail'!$A:$A,'Forecast Chart'!$A$5&amp;B31,'Forecast Detail'!$M:$M),0)</f>
        <v>0</v>
      </c>
      <c r="N31" s="79">
        <f>IFERROR(SUMIF('Forecast Detail'!$A:$A,'Forecast Chart'!$A$5&amp;B31,'Forecast Detail'!$O:$O),0)</f>
        <v>0</v>
      </c>
      <c r="O31" s="79">
        <f>IFERROR(SUMIF('Forecast Detail'!$A:$A,'Forecast Chart'!$A$5&amp;B31,'Forecast Detail'!$P:$P),0)</f>
        <v>0</v>
      </c>
      <c r="P31" s="47"/>
    </row>
    <row r="32" spans="2:16" ht="13" x14ac:dyDescent="0.25">
      <c r="B32" s="126">
        <v>23</v>
      </c>
      <c r="C32" s="199">
        <f t="shared" si="0"/>
        <v>2050</v>
      </c>
      <c r="D32" s="42"/>
      <c r="E32" s="78">
        <f>IFERROR(SUMIF('Forecast Detail'!$A:$A,'Forecast Chart'!$A$3&amp;B32,'Forecast Detail'!$M:$M),0)</f>
        <v>0</v>
      </c>
      <c r="F32" s="79">
        <f>IFERROR(SUMIF('Forecast Detail'!$A:$A,'Forecast Chart'!$A$3&amp;B32,'Forecast Detail'!$O:$O),0)</f>
        <v>0</v>
      </c>
      <c r="G32" s="79">
        <f>IFERROR(SUMIF('Forecast Detail'!$A:$A,'Forecast Chart'!$A$3&amp;B32,'Forecast Detail'!$P:$P),0)</f>
        <v>0</v>
      </c>
      <c r="I32" s="78">
        <f>IFERROR(SUMIF('Forecast Detail'!$A:$A,'Forecast Chart'!$A$4&amp;B32,'Forecast Detail'!$M:$M),0)</f>
        <v>960141.73391853448</v>
      </c>
      <c r="J32" s="79">
        <f>IFERROR(SUMIF('Forecast Detail'!$A:$A,'Forecast Chart'!$A$4&amp;B32,'Forecast Detail'!$O:$O),0)</f>
        <v>960141.73391853448</v>
      </c>
      <c r="K32" s="79">
        <f>IFERROR(SUMIF('Forecast Detail'!$A:$A,'Forecast Chart'!$A$4&amp;B32,'Forecast Detail'!$P:$P),0)</f>
        <v>480070.86695926724</v>
      </c>
      <c r="M32" s="78">
        <f>IFERROR(SUMIF('Forecast Detail'!$A:$A,'Forecast Chart'!$A$5&amp;B32,'Forecast Detail'!$M:$M),0)</f>
        <v>0</v>
      </c>
      <c r="N32" s="79">
        <f>IFERROR(SUMIF('Forecast Detail'!$A:$A,'Forecast Chart'!$A$5&amp;B32,'Forecast Detail'!$O:$O),0)</f>
        <v>0</v>
      </c>
      <c r="O32" s="79">
        <f>IFERROR(SUMIF('Forecast Detail'!$A:$A,'Forecast Chart'!$A$5&amp;B32,'Forecast Detail'!$P:$P),0)</f>
        <v>0</v>
      </c>
      <c r="P32" s="47"/>
    </row>
    <row r="33" spans="2:16" ht="13" x14ac:dyDescent="0.25">
      <c r="B33" s="126">
        <v>24</v>
      </c>
      <c r="C33" s="199">
        <f t="shared" si="0"/>
        <v>2051</v>
      </c>
      <c r="D33" s="42"/>
      <c r="E33" s="78">
        <f>IFERROR(SUMIF('Forecast Detail'!$A:$A,'Forecast Chart'!$A$3&amp;B33,'Forecast Detail'!$M:$M),0)</f>
        <v>0</v>
      </c>
      <c r="F33" s="79">
        <f>IFERROR(SUMIF('Forecast Detail'!$A:$A,'Forecast Chart'!$A$3&amp;B33,'Forecast Detail'!$O:$O),0)</f>
        <v>0</v>
      </c>
      <c r="G33" s="79">
        <f>IFERROR(SUMIF('Forecast Detail'!$A:$A,'Forecast Chart'!$A$3&amp;B33,'Forecast Detail'!$P:$P),0)</f>
        <v>0</v>
      </c>
      <c r="I33" s="78">
        <f>IFERROR(SUMIF('Forecast Detail'!$A:$A,'Forecast Chart'!$A$4&amp;B33,'Forecast Detail'!$M:$M),0)</f>
        <v>1022454.9324498475</v>
      </c>
      <c r="J33" s="79">
        <f>IFERROR(SUMIF('Forecast Detail'!$A:$A,'Forecast Chart'!$A$4&amp;B33,'Forecast Detail'!$O:$O),0)</f>
        <v>1022454.9324498475</v>
      </c>
      <c r="K33" s="79">
        <f>IFERROR(SUMIF('Forecast Detail'!$A:$A,'Forecast Chart'!$A$4&amp;B33,'Forecast Detail'!$P:$P),0)</f>
        <v>511227.46622492373</v>
      </c>
      <c r="M33" s="78">
        <f>IFERROR(SUMIF('Forecast Detail'!$A:$A,'Forecast Chart'!$A$5&amp;B33,'Forecast Detail'!$M:$M),0)</f>
        <v>0</v>
      </c>
      <c r="N33" s="79">
        <f>IFERROR(SUMIF('Forecast Detail'!$A:$A,'Forecast Chart'!$A$5&amp;B33,'Forecast Detail'!$O:$O),0)</f>
        <v>0</v>
      </c>
      <c r="O33" s="79">
        <f>IFERROR(SUMIF('Forecast Detail'!$A:$A,'Forecast Chart'!$A$5&amp;B33,'Forecast Detail'!$P:$P),0)</f>
        <v>0</v>
      </c>
      <c r="P33" s="47"/>
    </row>
    <row r="34" spans="2:16" ht="13" x14ac:dyDescent="0.25">
      <c r="B34" s="126">
        <v>25</v>
      </c>
      <c r="C34" s="199">
        <f t="shared" si="0"/>
        <v>2052</v>
      </c>
      <c r="D34" s="42"/>
      <c r="E34" s="78">
        <f>IFERROR(SUMIF('Forecast Detail'!$A:$A,'Forecast Chart'!$A$3&amp;B34,'Forecast Detail'!$M:$M),0)</f>
        <v>0</v>
      </c>
      <c r="F34" s="79">
        <f>IFERROR(SUMIF('Forecast Detail'!$A:$A,'Forecast Chart'!$A$3&amp;B34,'Forecast Detail'!$O:$O),0)</f>
        <v>0</v>
      </c>
      <c r="G34" s="79">
        <f>IFERROR(SUMIF('Forecast Detail'!$A:$A,'Forecast Chart'!$A$3&amp;B34,'Forecast Detail'!$P:$P),0)</f>
        <v>0</v>
      </c>
      <c r="I34" s="78">
        <f>IFERROR(SUMIF('Forecast Detail'!$A:$A,'Forecast Chart'!$A$4&amp;B34,'Forecast Detail'!$M:$M),0)</f>
        <v>1088812.2575658425</v>
      </c>
      <c r="J34" s="79">
        <f>IFERROR(SUMIF('Forecast Detail'!$A:$A,'Forecast Chart'!$A$4&amp;B34,'Forecast Detail'!$O:$O),0)</f>
        <v>1088812.2575658425</v>
      </c>
      <c r="K34" s="79">
        <f>IFERROR(SUMIF('Forecast Detail'!$A:$A,'Forecast Chart'!$A$4&amp;B34,'Forecast Detail'!$P:$P),0)</f>
        <v>544406.12878292124</v>
      </c>
      <c r="M34" s="78">
        <f>IFERROR(SUMIF('Forecast Detail'!$A:$A,'Forecast Chart'!$A$5&amp;B34,'Forecast Detail'!$M:$M),0)</f>
        <v>0</v>
      </c>
      <c r="N34" s="79">
        <f>IFERROR(SUMIF('Forecast Detail'!$A:$A,'Forecast Chart'!$A$5&amp;B34,'Forecast Detail'!$O:$O),0)</f>
        <v>0</v>
      </c>
      <c r="O34" s="79">
        <f>IFERROR(SUMIF('Forecast Detail'!$A:$A,'Forecast Chart'!$A$5&amp;B34,'Forecast Detail'!$P:$P),0)</f>
        <v>0</v>
      </c>
      <c r="P34" s="47"/>
    </row>
    <row r="35" spans="2:16" ht="13" x14ac:dyDescent="0.25">
      <c r="B35" s="126">
        <v>26</v>
      </c>
      <c r="C35" s="199">
        <f t="shared" si="0"/>
        <v>2053</v>
      </c>
      <c r="D35" s="42"/>
      <c r="E35" s="78">
        <f>IFERROR(SUMIF('Forecast Detail'!$A:$A,'Forecast Chart'!$A$3&amp;B35,'Forecast Detail'!$M:$M),0)</f>
        <v>0</v>
      </c>
      <c r="F35" s="79">
        <f>IFERROR(SUMIF('Forecast Detail'!$A:$A,'Forecast Chart'!$A$3&amp;B35,'Forecast Detail'!$O:$O),0)</f>
        <v>0</v>
      </c>
      <c r="G35" s="79">
        <f>IFERROR(SUMIF('Forecast Detail'!$A:$A,'Forecast Chart'!$A$3&amp;B35,'Forecast Detail'!$P:$P),0)</f>
        <v>0</v>
      </c>
      <c r="I35" s="78">
        <f>IFERROR(SUMIF('Forecast Detail'!$A:$A,'Forecast Chart'!$A$4&amp;B35,'Forecast Detail'!$M:$M),0)</f>
        <v>1159476.1730818655</v>
      </c>
      <c r="J35" s="79">
        <f>IFERROR(SUMIF('Forecast Detail'!$A:$A,'Forecast Chart'!$A$4&amp;B35,'Forecast Detail'!$O:$O),0)</f>
        <v>1159476.1730818655</v>
      </c>
      <c r="K35" s="79">
        <f>IFERROR(SUMIF('Forecast Detail'!$A:$A,'Forecast Chart'!$A$4&amp;B35,'Forecast Detail'!$P:$P),0)</f>
        <v>579738.08654093277</v>
      </c>
      <c r="M35" s="78">
        <f>IFERROR(SUMIF('Forecast Detail'!$A:$A,'Forecast Chart'!$A$5&amp;B35,'Forecast Detail'!$M:$M),0)</f>
        <v>0</v>
      </c>
      <c r="N35" s="79">
        <f>IFERROR(SUMIF('Forecast Detail'!$A:$A,'Forecast Chart'!$A$5&amp;B35,'Forecast Detail'!$O:$O),0)</f>
        <v>0</v>
      </c>
      <c r="O35" s="79">
        <f>IFERROR(SUMIF('Forecast Detail'!$A:$A,'Forecast Chart'!$A$5&amp;B35,'Forecast Detail'!$P:$P),0)</f>
        <v>0</v>
      </c>
      <c r="P35" s="47"/>
    </row>
    <row r="36" spans="2:16" ht="13" x14ac:dyDescent="0.25">
      <c r="B36" s="126">
        <v>27</v>
      </c>
      <c r="C36" s="199">
        <f t="shared" si="0"/>
        <v>2054</v>
      </c>
      <c r="D36" s="42"/>
      <c r="E36" s="78">
        <f>IFERROR(SUMIF('Forecast Detail'!$A:$A,'Forecast Chart'!$A$3&amp;B36,'Forecast Detail'!$M:$M),0)</f>
        <v>0</v>
      </c>
      <c r="F36" s="79">
        <f>IFERROR(SUMIF('Forecast Detail'!$A:$A,'Forecast Chart'!$A$3&amp;B36,'Forecast Detail'!$O:$O),0)</f>
        <v>0</v>
      </c>
      <c r="G36" s="79">
        <f>IFERROR(SUMIF('Forecast Detail'!$A:$A,'Forecast Chart'!$A$3&amp;B36,'Forecast Detail'!$P:$P),0)</f>
        <v>0</v>
      </c>
      <c r="I36" s="78">
        <f>IFERROR(SUMIF('Forecast Detail'!$A:$A,'Forecast Chart'!$A$4&amp;B36,'Forecast Detail'!$M:$M),0)</f>
        <v>1234726.1767148788</v>
      </c>
      <c r="J36" s="79">
        <f>IFERROR(SUMIF('Forecast Detail'!$A:$A,'Forecast Chart'!$A$4&amp;B36,'Forecast Detail'!$O:$O),0)</f>
        <v>1234726.1767148788</v>
      </c>
      <c r="K36" s="79">
        <f>IFERROR(SUMIF('Forecast Detail'!$A:$A,'Forecast Chart'!$A$4&amp;B36,'Forecast Detail'!$P:$P),0)</f>
        <v>617363.08835743938</v>
      </c>
      <c r="M36" s="78">
        <f>IFERROR(SUMIF('Forecast Detail'!$A:$A,'Forecast Chart'!$A$5&amp;B36,'Forecast Detail'!$M:$M),0)</f>
        <v>0</v>
      </c>
      <c r="N36" s="79">
        <f>IFERROR(SUMIF('Forecast Detail'!$A:$A,'Forecast Chart'!$A$5&amp;B36,'Forecast Detail'!$O:$O),0)</f>
        <v>0</v>
      </c>
      <c r="O36" s="79">
        <f>IFERROR(SUMIF('Forecast Detail'!$A:$A,'Forecast Chart'!$A$5&amp;B36,'Forecast Detail'!$P:$P),0)</f>
        <v>0</v>
      </c>
      <c r="P36" s="47"/>
    </row>
    <row r="37" spans="2:16" ht="13" x14ac:dyDescent="0.25">
      <c r="B37" s="126">
        <v>28</v>
      </c>
      <c r="C37" s="199">
        <f t="shared" si="0"/>
        <v>2055</v>
      </c>
      <c r="D37" s="42"/>
      <c r="E37" s="78">
        <f>IFERROR(SUMIF('Forecast Detail'!$A:$A,'Forecast Chart'!$A$3&amp;B37,'Forecast Detail'!$M:$M),0)</f>
        <v>0</v>
      </c>
      <c r="F37" s="79">
        <f>IFERROR(SUMIF('Forecast Detail'!$A:$A,'Forecast Chart'!$A$3&amp;B37,'Forecast Detail'!$O:$O),0)</f>
        <v>0</v>
      </c>
      <c r="G37" s="79">
        <f>IFERROR(SUMIF('Forecast Detail'!$A:$A,'Forecast Chart'!$A$3&amp;B37,'Forecast Detail'!$P:$P),0)</f>
        <v>0</v>
      </c>
      <c r="I37" s="78">
        <f>IFERROR(SUMIF('Forecast Detail'!$A:$A,'Forecast Chart'!$A$4&amp;B37,'Forecast Detail'!$M:$M),0)</f>
        <v>1314859.9055836746</v>
      </c>
      <c r="J37" s="79">
        <f>IFERROR(SUMIF('Forecast Detail'!$A:$A,'Forecast Chart'!$A$4&amp;B37,'Forecast Detail'!$O:$O),0)</f>
        <v>1314859.9055836746</v>
      </c>
      <c r="K37" s="79">
        <f>IFERROR(SUMIF('Forecast Detail'!$A:$A,'Forecast Chart'!$A$4&amp;B37,'Forecast Detail'!$P:$P),0)</f>
        <v>657429.95279183728</v>
      </c>
      <c r="M37" s="78">
        <f>IFERROR(SUMIF('Forecast Detail'!$A:$A,'Forecast Chart'!$A$5&amp;B37,'Forecast Detail'!$M:$M),0)</f>
        <v>0</v>
      </c>
      <c r="N37" s="79">
        <f>IFERROR(SUMIF('Forecast Detail'!$A:$A,'Forecast Chart'!$A$5&amp;B37,'Forecast Detail'!$O:$O),0)</f>
        <v>0</v>
      </c>
      <c r="O37" s="79">
        <f>IFERROR(SUMIF('Forecast Detail'!$A:$A,'Forecast Chart'!$A$5&amp;B37,'Forecast Detail'!$P:$P),0)</f>
        <v>0</v>
      </c>
      <c r="P37" s="47"/>
    </row>
    <row r="38" spans="2:16" ht="13" x14ac:dyDescent="0.25">
      <c r="B38" s="126">
        <v>29</v>
      </c>
      <c r="C38" s="199">
        <f t="shared" si="0"/>
        <v>2056</v>
      </c>
      <c r="D38" s="42"/>
      <c r="E38" s="78">
        <f>IFERROR(SUMIF('Forecast Detail'!$A:$A,'Forecast Chart'!$A$3&amp;B38,'Forecast Detail'!$M:$M),0)</f>
        <v>0</v>
      </c>
      <c r="F38" s="79">
        <f>IFERROR(SUMIF('Forecast Detail'!$A:$A,'Forecast Chart'!$A$3&amp;B38,'Forecast Detail'!$O:$O),0)</f>
        <v>0</v>
      </c>
      <c r="G38" s="79">
        <f>IFERROR(SUMIF('Forecast Detail'!$A:$A,'Forecast Chart'!$A$3&amp;B38,'Forecast Detail'!$P:$P),0)</f>
        <v>0</v>
      </c>
      <c r="I38" s="78">
        <f>IFERROR(SUMIF('Forecast Detail'!$A:$A,'Forecast Chart'!$A$4&amp;B38,'Forecast Detail'!$M:$M),0)</f>
        <v>1400194.313456055</v>
      </c>
      <c r="J38" s="79">
        <f>IFERROR(SUMIF('Forecast Detail'!$A:$A,'Forecast Chart'!$A$4&amp;B38,'Forecast Detail'!$O:$O),0)</f>
        <v>1400194.313456055</v>
      </c>
      <c r="K38" s="79">
        <f>IFERROR(SUMIF('Forecast Detail'!$A:$A,'Forecast Chart'!$A$4&amp;B38,'Forecast Detail'!$P:$P),0)</f>
        <v>700097.1567280275</v>
      </c>
      <c r="M38" s="78">
        <f>IFERROR(SUMIF('Forecast Detail'!$A:$A,'Forecast Chart'!$A$5&amp;B38,'Forecast Detail'!$M:$M),0)</f>
        <v>0</v>
      </c>
      <c r="N38" s="79">
        <f>IFERROR(SUMIF('Forecast Detail'!$A:$A,'Forecast Chart'!$A$5&amp;B38,'Forecast Detail'!$O:$O),0)</f>
        <v>0</v>
      </c>
      <c r="O38" s="79">
        <f>IFERROR(SUMIF('Forecast Detail'!$A:$A,'Forecast Chart'!$A$5&amp;B38,'Forecast Detail'!$P:$P),0)</f>
        <v>0</v>
      </c>
      <c r="P38" s="47"/>
    </row>
    <row r="39" spans="2:16" ht="13" x14ac:dyDescent="0.25">
      <c r="B39" s="126">
        <v>30</v>
      </c>
      <c r="C39" s="199">
        <f t="shared" si="0"/>
        <v>2057</v>
      </c>
      <c r="D39" s="42"/>
      <c r="E39" s="78">
        <f>IFERROR(SUMIF('Forecast Detail'!$A:$A,'Forecast Chart'!$A$3&amp;B39,'Forecast Detail'!$M:$M),0)</f>
        <v>0</v>
      </c>
      <c r="F39" s="79">
        <f>IFERROR(SUMIF('Forecast Detail'!$A:$A,'Forecast Chart'!$A$3&amp;B39,'Forecast Detail'!$O:$O),0)</f>
        <v>0</v>
      </c>
      <c r="G39" s="79">
        <f>IFERROR(SUMIF('Forecast Detail'!$A:$A,'Forecast Chart'!$A$3&amp;B39,'Forecast Detail'!$P:$P),0)</f>
        <v>0</v>
      </c>
      <c r="I39" s="78">
        <f>IFERROR(SUMIF('Forecast Detail'!$A:$A,'Forecast Chart'!$A$4&amp;B39,'Forecast Detail'!$M:$M),0)</f>
        <v>1491066.9243993531</v>
      </c>
      <c r="J39" s="79">
        <f>IFERROR(SUMIF('Forecast Detail'!$A:$A,'Forecast Chart'!$A$4&amp;B39,'Forecast Detail'!$O:$O),0)</f>
        <v>1491066.9243993531</v>
      </c>
      <c r="K39" s="79">
        <f>IFERROR(SUMIF('Forecast Detail'!$A:$A,'Forecast Chart'!$A$4&amp;B39,'Forecast Detail'!$P:$P),0)</f>
        <v>745533.46219967655</v>
      </c>
      <c r="M39" s="78">
        <f>IFERROR(SUMIF('Forecast Detail'!$A:$A,'Forecast Chart'!$A$5&amp;B39,'Forecast Detail'!$M:$M),0)</f>
        <v>0</v>
      </c>
      <c r="N39" s="79">
        <f>IFERROR(SUMIF('Forecast Detail'!$A:$A,'Forecast Chart'!$A$5&amp;B39,'Forecast Detail'!$O:$O),0)</f>
        <v>0</v>
      </c>
      <c r="O39" s="79">
        <f>IFERROR(SUMIF('Forecast Detail'!$A:$A,'Forecast Chart'!$A$5&amp;B39,'Forecast Detail'!$P:$P),0)</f>
        <v>0</v>
      </c>
      <c r="P39" s="47"/>
    </row>
    <row r="40" spans="2:16" ht="13" x14ac:dyDescent="0.25">
      <c r="B40" s="126">
        <v>31</v>
      </c>
      <c r="C40" s="199">
        <f t="shared" si="0"/>
        <v>2058</v>
      </c>
      <c r="D40" s="42"/>
      <c r="E40" s="78">
        <f>IFERROR(SUMIF('Forecast Detail'!$A:$A,'Forecast Chart'!$A$3&amp;B40,'Forecast Detail'!$M:$M),0)</f>
        <v>0</v>
      </c>
      <c r="F40" s="79">
        <f>IFERROR(SUMIF('Forecast Detail'!$A:$A,'Forecast Chart'!$A$3&amp;B40,'Forecast Detail'!$O:$O),0)</f>
        <v>0</v>
      </c>
      <c r="G40" s="79">
        <f>IFERROR(SUMIF('Forecast Detail'!$A:$A,'Forecast Chart'!$A$3&amp;B40,'Forecast Detail'!$P:$P),0)</f>
        <v>0</v>
      </c>
      <c r="I40" s="78">
        <f>IFERROR(SUMIF('Forecast Detail'!$A:$A,'Forecast Chart'!$A$4&amp;B40,'Forecast Detail'!$M:$M),0)</f>
        <v>1587837.1677928707</v>
      </c>
      <c r="J40" s="79">
        <f>IFERROR(SUMIF('Forecast Detail'!$A:$A,'Forecast Chart'!$A$4&amp;B40,'Forecast Detail'!$O:$O),0)</f>
        <v>1587837.1677928707</v>
      </c>
      <c r="K40" s="79">
        <f>IFERROR(SUMIF('Forecast Detail'!$A:$A,'Forecast Chart'!$A$4&amp;B40,'Forecast Detail'!$P:$P),0)</f>
        <v>793918.58389643533</v>
      </c>
      <c r="M40" s="78">
        <f>IFERROR(SUMIF('Forecast Detail'!$A:$A,'Forecast Chart'!$A$5&amp;B40,'Forecast Detail'!$M:$M),0)</f>
        <v>0</v>
      </c>
      <c r="N40" s="79">
        <f>IFERROR(SUMIF('Forecast Detail'!$A:$A,'Forecast Chart'!$A$5&amp;B40,'Forecast Detail'!$O:$O),0)</f>
        <v>0</v>
      </c>
      <c r="O40" s="79">
        <f>IFERROR(SUMIF('Forecast Detail'!$A:$A,'Forecast Chart'!$A$5&amp;B40,'Forecast Detail'!$P:$P),0)</f>
        <v>0</v>
      </c>
      <c r="P40" s="47"/>
    </row>
    <row r="41" spans="2:16" ht="13" x14ac:dyDescent="0.25">
      <c r="B41" s="126">
        <v>32</v>
      </c>
      <c r="C41" s="199">
        <f t="shared" si="0"/>
        <v>2059</v>
      </c>
      <c r="D41" s="42"/>
      <c r="E41" s="78">
        <f>IFERROR(SUMIF('Forecast Detail'!$A:$A,'Forecast Chart'!$A$3&amp;B41,'Forecast Detail'!$M:$M),0)</f>
        <v>0</v>
      </c>
      <c r="F41" s="79">
        <f>IFERROR(SUMIF('Forecast Detail'!$A:$A,'Forecast Chart'!$A$3&amp;B41,'Forecast Detail'!$O:$O),0)</f>
        <v>0</v>
      </c>
      <c r="G41" s="79">
        <f>IFERROR(SUMIF('Forecast Detail'!$A:$A,'Forecast Chart'!$A$3&amp;B41,'Forecast Detail'!$P:$P),0)</f>
        <v>0</v>
      </c>
      <c r="I41" s="78">
        <f>IFERROR(SUMIF('Forecast Detail'!$A:$A,'Forecast Chart'!$A$4&amp;B41,'Forecast Detail'!$M:$M),0)</f>
        <v>1690887.7999826279</v>
      </c>
      <c r="J41" s="79">
        <f>IFERROR(SUMIF('Forecast Detail'!$A:$A,'Forecast Chart'!$A$4&amp;B41,'Forecast Detail'!$O:$O),0)</f>
        <v>1690887.7999826279</v>
      </c>
      <c r="K41" s="79">
        <f>IFERROR(SUMIF('Forecast Detail'!$A:$A,'Forecast Chart'!$A$4&amp;B41,'Forecast Detail'!$P:$P),0)</f>
        <v>845443.89999131393</v>
      </c>
      <c r="M41" s="78">
        <f>IFERROR(SUMIF('Forecast Detail'!$A:$A,'Forecast Chart'!$A$5&amp;B41,'Forecast Detail'!$M:$M),0)</f>
        <v>0</v>
      </c>
      <c r="N41" s="79">
        <f>IFERROR(SUMIF('Forecast Detail'!$A:$A,'Forecast Chart'!$A$5&amp;B41,'Forecast Detail'!$O:$O),0)</f>
        <v>0</v>
      </c>
      <c r="O41" s="79">
        <f>IFERROR(SUMIF('Forecast Detail'!$A:$A,'Forecast Chart'!$A$5&amp;B41,'Forecast Detail'!$P:$P),0)</f>
        <v>0</v>
      </c>
      <c r="P41" s="47"/>
    </row>
    <row r="42" spans="2:16" ht="13" x14ac:dyDescent="0.25">
      <c r="B42" s="126">
        <v>33</v>
      </c>
      <c r="C42" s="199">
        <f t="shared" si="0"/>
        <v>2060</v>
      </c>
      <c r="D42" s="42"/>
      <c r="E42" s="78">
        <f>IFERROR(SUMIF('Forecast Detail'!$A:$A,'Forecast Chart'!$A$3&amp;B42,'Forecast Detail'!$M:$M),0)</f>
        <v>0</v>
      </c>
      <c r="F42" s="79">
        <f>IFERROR(SUMIF('Forecast Detail'!$A:$A,'Forecast Chart'!$A$3&amp;B42,'Forecast Detail'!$O:$O),0)</f>
        <v>0</v>
      </c>
      <c r="G42" s="79">
        <f>IFERROR(SUMIF('Forecast Detail'!$A:$A,'Forecast Chart'!$A$3&amp;B42,'Forecast Detail'!$P:$P),0)</f>
        <v>0</v>
      </c>
      <c r="I42" s="78">
        <f>IFERROR(SUMIF('Forecast Detail'!$A:$A,'Forecast Chart'!$A$4&amp;B42,'Forecast Detail'!$M:$M),0)</f>
        <v>1800626.4182015005</v>
      </c>
      <c r="J42" s="79">
        <f>IFERROR(SUMIF('Forecast Detail'!$A:$A,'Forecast Chart'!$A$4&amp;B42,'Forecast Detail'!$O:$O),0)</f>
        <v>1800626.4182015005</v>
      </c>
      <c r="K42" s="79">
        <f>IFERROR(SUMIF('Forecast Detail'!$A:$A,'Forecast Chart'!$A$4&amp;B42,'Forecast Detail'!$P:$P),0)</f>
        <v>900313.20910075027</v>
      </c>
      <c r="M42" s="78">
        <f>IFERROR(SUMIF('Forecast Detail'!$A:$A,'Forecast Chart'!$A$5&amp;B42,'Forecast Detail'!$M:$M),0)</f>
        <v>0</v>
      </c>
      <c r="N42" s="79">
        <f>IFERROR(SUMIF('Forecast Detail'!$A:$A,'Forecast Chart'!$A$5&amp;B42,'Forecast Detail'!$O:$O),0)</f>
        <v>0</v>
      </c>
      <c r="O42" s="79">
        <f>IFERROR(SUMIF('Forecast Detail'!$A:$A,'Forecast Chart'!$A$5&amp;B42,'Forecast Detail'!$P:$P),0)</f>
        <v>0</v>
      </c>
      <c r="P42" s="47"/>
    </row>
    <row r="43" spans="2:16" ht="13" x14ac:dyDescent="0.25">
      <c r="B43" s="126">
        <v>34</v>
      </c>
      <c r="C43" s="199">
        <f t="shared" si="0"/>
        <v>2061</v>
      </c>
      <c r="D43" s="42"/>
      <c r="E43" s="78">
        <f>IFERROR(SUMIF('Forecast Detail'!$A:$A,'Forecast Chart'!$A$3&amp;B43,'Forecast Detail'!$M:$M),0)</f>
        <v>0</v>
      </c>
      <c r="F43" s="79">
        <f>IFERROR(SUMIF('Forecast Detail'!$A:$A,'Forecast Chart'!$A$3&amp;B43,'Forecast Detail'!$O:$O),0)</f>
        <v>0</v>
      </c>
      <c r="G43" s="79">
        <f>IFERROR(SUMIF('Forecast Detail'!$A:$A,'Forecast Chart'!$A$3&amp;B43,'Forecast Detail'!$P:$P),0)</f>
        <v>0</v>
      </c>
      <c r="I43" s="78">
        <f>IFERROR(SUMIF('Forecast Detail'!$A:$A,'Forecast Chart'!$A$4&amp;B43,'Forecast Detail'!$M:$M),0)</f>
        <v>1917487.0727427776</v>
      </c>
      <c r="J43" s="79">
        <f>IFERROR(SUMIF('Forecast Detail'!$A:$A,'Forecast Chart'!$A$4&amp;B43,'Forecast Detail'!$O:$O),0)</f>
        <v>1917487.0727427776</v>
      </c>
      <c r="K43" s="79">
        <f>IFERROR(SUMIF('Forecast Detail'!$A:$A,'Forecast Chart'!$A$4&amp;B43,'Forecast Detail'!$P:$P),0)</f>
        <v>958743.53637138882</v>
      </c>
      <c r="M43" s="78">
        <f>IFERROR(SUMIF('Forecast Detail'!$A:$A,'Forecast Chart'!$A$5&amp;B43,'Forecast Detail'!$M:$M),0)</f>
        <v>0</v>
      </c>
      <c r="N43" s="79">
        <f>IFERROR(SUMIF('Forecast Detail'!$A:$A,'Forecast Chart'!$A$5&amp;B43,'Forecast Detail'!$O:$O),0)</f>
        <v>0</v>
      </c>
      <c r="O43" s="79">
        <f>IFERROR(SUMIF('Forecast Detail'!$A:$A,'Forecast Chart'!$A$5&amp;B43,'Forecast Detail'!$P:$P),0)</f>
        <v>0</v>
      </c>
      <c r="P43" s="47"/>
    </row>
    <row r="44" spans="2:16" ht="13" x14ac:dyDescent="0.25">
      <c r="B44" s="126">
        <v>35</v>
      </c>
      <c r="C44" s="199">
        <f t="shared" si="0"/>
        <v>2062</v>
      </c>
      <c r="D44" s="42"/>
      <c r="E44" s="78">
        <f>IFERROR(SUMIF('Forecast Detail'!$A:$A,'Forecast Chart'!$A$3&amp;B44,'Forecast Detail'!$M:$M),0)</f>
        <v>0</v>
      </c>
      <c r="F44" s="79">
        <f>IFERROR(SUMIF('Forecast Detail'!$A:$A,'Forecast Chart'!$A$3&amp;B44,'Forecast Detail'!$O:$O),0)</f>
        <v>0</v>
      </c>
      <c r="G44" s="79">
        <f>IFERROR(SUMIF('Forecast Detail'!$A:$A,'Forecast Chart'!$A$3&amp;B44,'Forecast Detail'!$P:$P),0)</f>
        <v>0</v>
      </c>
      <c r="I44" s="78">
        <f>IFERROR(SUMIF('Forecast Detail'!$A:$A,'Forecast Chart'!$A$4&amp;B44,'Forecast Detail'!$M:$M),0)</f>
        <v>2041931.9837637837</v>
      </c>
      <c r="J44" s="79">
        <f>IFERROR(SUMIF('Forecast Detail'!$A:$A,'Forecast Chart'!$A$4&amp;B44,'Forecast Detail'!$O:$O),0)</f>
        <v>2041931.9837637837</v>
      </c>
      <c r="K44" s="79">
        <f>IFERROR(SUMIF('Forecast Detail'!$A:$A,'Forecast Chart'!$A$4&amp;B44,'Forecast Detail'!$P:$P),0)</f>
        <v>1020965.9918818919</v>
      </c>
      <c r="M44" s="78">
        <f>IFERROR(SUMIF('Forecast Detail'!$A:$A,'Forecast Chart'!$A$5&amp;B44,'Forecast Detail'!$M:$M),0)</f>
        <v>0</v>
      </c>
      <c r="N44" s="79">
        <f>IFERROR(SUMIF('Forecast Detail'!$A:$A,'Forecast Chart'!$A$5&amp;B44,'Forecast Detail'!$O:$O),0)</f>
        <v>0</v>
      </c>
      <c r="O44" s="79">
        <f>IFERROR(SUMIF('Forecast Detail'!$A:$A,'Forecast Chart'!$A$5&amp;B44,'Forecast Detail'!$P:$P),0)</f>
        <v>0</v>
      </c>
      <c r="P44" s="47"/>
    </row>
    <row r="45" spans="2:16" ht="13" x14ac:dyDescent="0.25">
      <c r="B45" s="126">
        <v>36</v>
      </c>
      <c r="C45" s="199">
        <f t="shared" si="0"/>
        <v>2063</v>
      </c>
      <c r="D45" s="42"/>
      <c r="E45" s="78">
        <f>IFERROR(SUMIF('Forecast Detail'!$A:$A,'Forecast Chart'!$A$3&amp;B45,'Forecast Detail'!$M:$M),0)</f>
        <v>0</v>
      </c>
      <c r="F45" s="79">
        <f>IFERROR(SUMIF('Forecast Detail'!$A:$A,'Forecast Chart'!$A$3&amp;B45,'Forecast Detail'!$O:$O),0)</f>
        <v>0</v>
      </c>
      <c r="G45" s="79">
        <f>IFERROR(SUMIF('Forecast Detail'!$A:$A,'Forecast Chart'!$A$3&amp;B45,'Forecast Detail'!$P:$P),0)</f>
        <v>0</v>
      </c>
      <c r="I45" s="78">
        <f>IFERROR(SUMIF('Forecast Detail'!$A:$A,'Forecast Chart'!$A$4&amp;B45,'Forecast Detail'!$M:$M),0)</f>
        <v>2174453.3695100537</v>
      </c>
      <c r="J45" s="79">
        <f>IFERROR(SUMIF('Forecast Detail'!$A:$A,'Forecast Chart'!$A$4&amp;B45,'Forecast Detail'!$O:$O),0)</f>
        <v>2174453.3695100537</v>
      </c>
      <c r="K45" s="79">
        <f>IFERROR(SUMIF('Forecast Detail'!$A:$A,'Forecast Chart'!$A$4&amp;B45,'Forecast Detail'!$P:$P),0)</f>
        <v>1087226.6847550268</v>
      </c>
      <c r="M45" s="78">
        <f>IFERROR(SUMIF('Forecast Detail'!$A:$A,'Forecast Chart'!$A$5&amp;B45,'Forecast Detail'!$M:$M),0)</f>
        <v>0</v>
      </c>
      <c r="N45" s="79">
        <f>IFERROR(SUMIF('Forecast Detail'!$A:$A,'Forecast Chart'!$A$5&amp;B45,'Forecast Detail'!$O:$O),0)</f>
        <v>0</v>
      </c>
      <c r="O45" s="79">
        <f>IFERROR(SUMIF('Forecast Detail'!$A:$A,'Forecast Chart'!$A$5&amp;B45,'Forecast Detail'!$P:$P),0)</f>
        <v>0</v>
      </c>
      <c r="P45" s="47"/>
    </row>
    <row r="46" spans="2:16" ht="13" x14ac:dyDescent="0.25">
      <c r="B46" s="126">
        <v>37</v>
      </c>
      <c r="C46" s="199">
        <f t="shared" si="0"/>
        <v>2064</v>
      </c>
      <c r="D46" s="42"/>
      <c r="E46" s="78">
        <f>IFERROR(SUMIF('Forecast Detail'!$A:$A,'Forecast Chart'!$A$3&amp;B46,'Forecast Detail'!$M:$M),0)</f>
        <v>0</v>
      </c>
      <c r="F46" s="79">
        <f>IFERROR(SUMIF('Forecast Detail'!$A:$A,'Forecast Chart'!$A$3&amp;B46,'Forecast Detail'!$O:$O),0)</f>
        <v>0</v>
      </c>
      <c r="G46" s="79">
        <f>IFERROR(SUMIF('Forecast Detail'!$A:$A,'Forecast Chart'!$A$3&amp;B46,'Forecast Detail'!$P:$P),0)</f>
        <v>0</v>
      </c>
      <c r="I46" s="78">
        <f>IFERROR(SUMIF('Forecast Detail'!$A:$A,'Forecast Chart'!$A$4&amp;B46,'Forecast Detail'!$M:$M),0)</f>
        <v>2315575.3931912561</v>
      </c>
      <c r="J46" s="79">
        <f>IFERROR(SUMIF('Forecast Detail'!$A:$A,'Forecast Chart'!$A$4&amp;B46,'Forecast Detail'!$O:$O),0)</f>
        <v>2315575.3931912561</v>
      </c>
      <c r="K46" s="79">
        <f>IFERROR(SUMIF('Forecast Detail'!$A:$A,'Forecast Chart'!$A$4&amp;B46,'Forecast Detail'!$P:$P),0)</f>
        <v>1157787.696595628</v>
      </c>
      <c r="M46" s="78">
        <f>IFERROR(SUMIF('Forecast Detail'!$A:$A,'Forecast Chart'!$A$5&amp;B46,'Forecast Detail'!$M:$M),0)</f>
        <v>0</v>
      </c>
      <c r="N46" s="79">
        <f>IFERROR(SUMIF('Forecast Detail'!$A:$A,'Forecast Chart'!$A$5&amp;B46,'Forecast Detail'!$O:$O),0)</f>
        <v>0</v>
      </c>
      <c r="O46" s="79">
        <f>IFERROR(SUMIF('Forecast Detail'!$A:$A,'Forecast Chart'!$A$5&amp;B46,'Forecast Detail'!$P:$P),0)</f>
        <v>0</v>
      </c>
      <c r="P46" s="47"/>
    </row>
    <row r="47" spans="2:16" ht="13" x14ac:dyDescent="0.25">
      <c r="B47" s="126">
        <v>38</v>
      </c>
      <c r="C47" s="199">
        <f t="shared" si="0"/>
        <v>2065</v>
      </c>
      <c r="D47" s="42"/>
      <c r="E47" s="78">
        <f>IFERROR(SUMIF('Forecast Detail'!$A:$A,'Forecast Chart'!$A$3&amp;B47,'Forecast Detail'!$M:$M),0)</f>
        <v>0</v>
      </c>
      <c r="F47" s="79">
        <f>IFERROR(SUMIF('Forecast Detail'!$A:$A,'Forecast Chart'!$A$3&amp;B47,'Forecast Detail'!$O:$O),0)</f>
        <v>0</v>
      </c>
      <c r="G47" s="79">
        <f>IFERROR(SUMIF('Forecast Detail'!$A:$A,'Forecast Chart'!$A$3&amp;B47,'Forecast Detail'!$P:$P),0)</f>
        <v>0</v>
      </c>
      <c r="I47" s="78">
        <f>IFERROR(SUMIF('Forecast Detail'!$A:$A,'Forecast Chart'!$A$4&amp;B47,'Forecast Detail'!$M:$M),0)</f>
        <v>2465856.2362093683</v>
      </c>
      <c r="J47" s="79">
        <f>IFERROR(SUMIF('Forecast Detail'!$A:$A,'Forecast Chart'!$A$4&amp;B47,'Forecast Detail'!$O:$O),0)</f>
        <v>2465856.2362093683</v>
      </c>
      <c r="K47" s="79">
        <f>IFERROR(SUMIF('Forecast Detail'!$A:$A,'Forecast Chart'!$A$4&amp;B47,'Forecast Detail'!$P:$P),0)</f>
        <v>1232928.1181046842</v>
      </c>
      <c r="M47" s="78">
        <f>IFERROR(SUMIF('Forecast Detail'!$A:$A,'Forecast Chart'!$A$5&amp;B47,'Forecast Detail'!$M:$M),0)</f>
        <v>0</v>
      </c>
      <c r="N47" s="79">
        <f>IFERROR(SUMIF('Forecast Detail'!$A:$A,'Forecast Chart'!$A$5&amp;B47,'Forecast Detail'!$O:$O),0)</f>
        <v>0</v>
      </c>
      <c r="O47" s="79">
        <f>IFERROR(SUMIF('Forecast Detail'!$A:$A,'Forecast Chart'!$A$5&amp;B47,'Forecast Detail'!$P:$P),0)</f>
        <v>0</v>
      </c>
      <c r="P47" s="47"/>
    </row>
    <row r="48" spans="2:16" ht="13" x14ac:dyDescent="0.25">
      <c r="B48" s="126">
        <v>39</v>
      </c>
      <c r="C48" s="199">
        <f t="shared" si="0"/>
        <v>2066</v>
      </c>
      <c r="D48" s="42"/>
      <c r="E48" s="78">
        <f>IFERROR(SUMIF('Forecast Detail'!$A:$A,'Forecast Chart'!$A$3&amp;B48,'Forecast Detail'!$M:$M),0)</f>
        <v>0</v>
      </c>
      <c r="F48" s="79">
        <f>IFERROR(SUMIF('Forecast Detail'!$A:$A,'Forecast Chart'!$A$3&amp;B48,'Forecast Detail'!$O:$O),0)</f>
        <v>0</v>
      </c>
      <c r="G48" s="79">
        <f>IFERROR(SUMIF('Forecast Detail'!$A:$A,'Forecast Chart'!$A$3&amp;B48,'Forecast Detail'!$P:$P),0)</f>
        <v>0</v>
      </c>
      <c r="I48" s="78">
        <f>IFERROR(SUMIF('Forecast Detail'!$A:$A,'Forecast Chart'!$A$4&amp;B48,'Forecast Detail'!$M:$M),0)</f>
        <v>2625890.3059393568</v>
      </c>
      <c r="J48" s="79">
        <f>IFERROR(SUMIF('Forecast Detail'!$A:$A,'Forecast Chart'!$A$4&amp;B48,'Forecast Detail'!$O:$O),0)</f>
        <v>2625890.3059393568</v>
      </c>
      <c r="K48" s="79">
        <f>IFERROR(SUMIF('Forecast Detail'!$A:$A,'Forecast Chart'!$A$4&amp;B48,'Forecast Detail'!$P:$P),0)</f>
        <v>1312945.1529696784</v>
      </c>
      <c r="M48" s="78">
        <f>IFERROR(SUMIF('Forecast Detail'!$A:$A,'Forecast Chart'!$A$5&amp;B48,'Forecast Detail'!$M:$M),0)</f>
        <v>0</v>
      </c>
      <c r="N48" s="79">
        <f>IFERROR(SUMIF('Forecast Detail'!$A:$A,'Forecast Chart'!$A$5&amp;B48,'Forecast Detail'!$O:$O),0)</f>
        <v>0</v>
      </c>
      <c r="O48" s="79">
        <f>IFERROR(SUMIF('Forecast Detail'!$A:$A,'Forecast Chart'!$A$5&amp;B48,'Forecast Detail'!$P:$P),0)</f>
        <v>0</v>
      </c>
      <c r="P48" s="47"/>
    </row>
    <row r="49" spans="2:16" ht="13" x14ac:dyDescent="0.25">
      <c r="B49" s="126">
        <v>40</v>
      </c>
      <c r="C49" s="199">
        <f t="shared" si="0"/>
        <v>2067</v>
      </c>
      <c r="D49" s="42"/>
      <c r="E49" s="78">
        <f>IFERROR(SUMIF('Forecast Detail'!$A:$A,'Forecast Chart'!$A$3&amp;B49,'Forecast Detail'!$M:$M),0)</f>
        <v>0</v>
      </c>
      <c r="F49" s="79">
        <f>IFERROR(SUMIF('Forecast Detail'!$A:$A,'Forecast Chart'!$A$3&amp;B49,'Forecast Detail'!$O:$O),0)</f>
        <v>0</v>
      </c>
      <c r="G49" s="79">
        <f>IFERROR(SUMIF('Forecast Detail'!$A:$A,'Forecast Chart'!$A$3&amp;B49,'Forecast Detail'!$P:$P),0)</f>
        <v>0</v>
      </c>
      <c r="I49" s="78">
        <f>IFERROR(SUMIF('Forecast Detail'!$A:$A,'Forecast Chart'!$A$4&amp;B49,'Forecast Detail'!$M:$M),0)</f>
        <v>2796310.5867948206</v>
      </c>
      <c r="J49" s="79">
        <f>IFERROR(SUMIF('Forecast Detail'!$A:$A,'Forecast Chart'!$A$4&amp;B49,'Forecast Detail'!$O:$O),0)</f>
        <v>2796310.5867948206</v>
      </c>
      <c r="K49" s="79">
        <f>IFERROR(SUMIF('Forecast Detail'!$A:$A,'Forecast Chart'!$A$4&amp;B49,'Forecast Detail'!$P:$P),0)</f>
        <v>1398155.2933974103</v>
      </c>
      <c r="M49" s="78">
        <f>IFERROR(SUMIF('Forecast Detail'!$A:$A,'Forecast Chart'!$A$5&amp;B49,'Forecast Detail'!$M:$M),0)</f>
        <v>0</v>
      </c>
      <c r="N49" s="79">
        <f>IFERROR(SUMIF('Forecast Detail'!$A:$A,'Forecast Chart'!$A$5&amp;B49,'Forecast Detail'!$O:$O),0)</f>
        <v>0</v>
      </c>
      <c r="O49" s="79">
        <f>IFERROR(SUMIF('Forecast Detail'!$A:$A,'Forecast Chart'!$A$5&amp;B49,'Forecast Detail'!$P:$P),0)</f>
        <v>0</v>
      </c>
      <c r="P49" s="47"/>
    </row>
    <row r="50" spans="2:16" ht="13" x14ac:dyDescent="0.25">
      <c r="B50" s="126">
        <v>41</v>
      </c>
      <c r="C50" s="199">
        <f t="shared" si="0"/>
        <v>2068</v>
      </c>
      <c r="D50" s="42"/>
      <c r="E50" s="78">
        <f>IFERROR(SUMIF('Forecast Detail'!$A:$A,'Forecast Chart'!$A$3&amp;B50,'Forecast Detail'!$M:$M),0)</f>
        <v>0</v>
      </c>
      <c r="F50" s="79">
        <f>IFERROR(SUMIF('Forecast Detail'!$A:$A,'Forecast Chart'!$A$3&amp;B50,'Forecast Detail'!$O:$O),0)</f>
        <v>0</v>
      </c>
      <c r="G50" s="79">
        <f>IFERROR(SUMIF('Forecast Detail'!$A:$A,'Forecast Chart'!$A$3&amp;B50,'Forecast Detail'!$P:$P),0)</f>
        <v>0</v>
      </c>
      <c r="I50" s="78">
        <f>IFERROR(SUMIF('Forecast Detail'!$A:$A,'Forecast Chart'!$A$4&amp;B50,'Forecast Detail'!$M:$M),0)</f>
        <v>2977791.1438778043</v>
      </c>
      <c r="J50" s="79">
        <f>IFERROR(SUMIF('Forecast Detail'!$A:$A,'Forecast Chart'!$A$4&amp;B50,'Forecast Detail'!$O:$O),0)</f>
        <v>2977791.1438778043</v>
      </c>
      <c r="K50" s="79">
        <f>IFERROR(SUMIF('Forecast Detail'!$A:$A,'Forecast Chart'!$A$4&amp;B50,'Forecast Detail'!$P:$P),0)</f>
        <v>1488895.5719389021</v>
      </c>
      <c r="M50" s="78">
        <f>IFERROR(SUMIF('Forecast Detail'!$A:$A,'Forecast Chart'!$A$5&amp;B50,'Forecast Detail'!$M:$M),0)</f>
        <v>0</v>
      </c>
      <c r="N50" s="79">
        <f>IFERROR(SUMIF('Forecast Detail'!$A:$A,'Forecast Chart'!$A$5&amp;B50,'Forecast Detail'!$O:$O),0)</f>
        <v>0</v>
      </c>
      <c r="O50" s="79">
        <f>IFERROR(SUMIF('Forecast Detail'!$A:$A,'Forecast Chart'!$A$5&amp;B50,'Forecast Detail'!$P:$P),0)</f>
        <v>0</v>
      </c>
      <c r="P50" s="47"/>
    </row>
  </sheetData>
  <mergeCells count="2">
    <mergeCell ref="B7:O8"/>
    <mergeCell ref="G1:O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FA0-C358-4081-835C-02DACCB40E94}">
  <sheetPr codeName="Sheet6">
    <tabColor theme="7" tint="0.79998168889431442"/>
  </sheetPr>
  <dimension ref="A1:AQ10"/>
  <sheetViews>
    <sheetView showGridLines="0" zoomScale="90" zoomScaleNormal="90" workbookViewId="0">
      <selection activeCell="C1" sqref="C1:J1"/>
    </sheetView>
  </sheetViews>
  <sheetFormatPr defaultRowHeight="12.5" x14ac:dyDescent="0.25"/>
  <cols>
    <col min="1" max="1" width="33.453125" customWidth="1"/>
    <col min="2" max="2" width="36.453125" bestFit="1" customWidth="1"/>
    <col min="3" max="42" width="13.453125" bestFit="1" customWidth="1"/>
    <col min="43" max="43" width="12.453125" bestFit="1" customWidth="1"/>
  </cols>
  <sheetData>
    <row r="1" spans="1:43" s="24" customFormat="1" x14ac:dyDescent="0.25">
      <c r="C1" s="5">
        <v>1</v>
      </c>
      <c r="D1" s="5">
        <v>2</v>
      </c>
      <c r="E1" s="5">
        <v>3</v>
      </c>
      <c r="F1" s="5">
        <v>4</v>
      </c>
      <c r="G1" s="5">
        <v>5</v>
      </c>
      <c r="H1" s="5">
        <v>6</v>
      </c>
      <c r="I1" s="5">
        <v>7</v>
      </c>
      <c r="J1" s="5">
        <v>8</v>
      </c>
      <c r="K1" s="24">
        <v>9</v>
      </c>
      <c r="L1" s="24">
        <v>10</v>
      </c>
      <c r="M1" s="24">
        <v>11</v>
      </c>
      <c r="N1" s="24">
        <v>12</v>
      </c>
      <c r="O1" s="24">
        <v>13</v>
      </c>
      <c r="P1" s="24">
        <v>14</v>
      </c>
      <c r="Q1" s="24">
        <v>15</v>
      </c>
      <c r="R1" s="24">
        <v>16</v>
      </c>
      <c r="S1" s="24">
        <v>17</v>
      </c>
      <c r="T1" s="24">
        <v>18</v>
      </c>
      <c r="U1" s="24">
        <v>19</v>
      </c>
      <c r="V1" s="24">
        <v>20</v>
      </c>
      <c r="W1" s="24">
        <v>21</v>
      </c>
      <c r="X1" s="24">
        <v>22</v>
      </c>
      <c r="Y1" s="24">
        <v>23</v>
      </c>
      <c r="Z1" s="24">
        <v>24</v>
      </c>
      <c r="AA1" s="24">
        <v>25</v>
      </c>
      <c r="AB1" s="24">
        <v>26</v>
      </c>
      <c r="AC1" s="24">
        <v>27</v>
      </c>
      <c r="AD1" s="24">
        <v>28</v>
      </c>
      <c r="AE1" s="24">
        <v>29</v>
      </c>
      <c r="AF1" s="24">
        <v>30</v>
      </c>
      <c r="AG1" s="24">
        <v>31</v>
      </c>
      <c r="AH1" s="24">
        <v>32</v>
      </c>
      <c r="AI1" s="24">
        <v>33</v>
      </c>
      <c r="AJ1" s="24">
        <v>34</v>
      </c>
      <c r="AK1" s="24">
        <v>35</v>
      </c>
      <c r="AL1" s="24">
        <v>36</v>
      </c>
      <c r="AM1" s="24">
        <v>37</v>
      </c>
      <c r="AN1" s="24">
        <v>38</v>
      </c>
      <c r="AO1" s="24">
        <v>39</v>
      </c>
      <c r="AP1" s="24">
        <v>40</v>
      </c>
      <c r="AQ1" s="24">
        <v>41</v>
      </c>
    </row>
    <row r="2" spans="1:43" s="25" customFormat="1" ht="19.649999999999999" customHeight="1" x14ac:dyDescent="0.25">
      <c r="B2" s="112" t="s">
        <v>49</v>
      </c>
      <c r="C2" s="112" t="str">
        <f>_xlfn.CONCAT("Year ",C1)</f>
        <v>Year 1</v>
      </c>
      <c r="D2" s="112" t="str">
        <f t="shared" ref="D2:AQ2" si="0">_xlfn.CONCAT("Year ",D1)</f>
        <v>Year 2</v>
      </c>
      <c r="E2" s="112" t="str">
        <f t="shared" si="0"/>
        <v>Year 3</v>
      </c>
      <c r="F2" s="112" t="str">
        <f t="shared" si="0"/>
        <v>Year 4</v>
      </c>
      <c r="G2" s="112" t="str">
        <f t="shared" si="0"/>
        <v>Year 5</v>
      </c>
      <c r="H2" s="112" t="str">
        <f t="shared" si="0"/>
        <v>Year 6</v>
      </c>
      <c r="I2" s="112" t="str">
        <f t="shared" si="0"/>
        <v>Year 7</v>
      </c>
      <c r="J2" s="112" t="str">
        <f t="shared" si="0"/>
        <v>Year 8</v>
      </c>
      <c r="K2" s="112" t="str">
        <f t="shared" si="0"/>
        <v>Year 9</v>
      </c>
      <c r="L2" s="112" t="str">
        <f t="shared" si="0"/>
        <v>Year 10</v>
      </c>
      <c r="M2" s="112" t="str">
        <f t="shared" si="0"/>
        <v>Year 11</v>
      </c>
      <c r="N2" s="112" t="str">
        <f t="shared" si="0"/>
        <v>Year 12</v>
      </c>
      <c r="O2" s="112" t="str">
        <f t="shared" si="0"/>
        <v>Year 13</v>
      </c>
      <c r="P2" s="112" t="str">
        <f t="shared" si="0"/>
        <v>Year 14</v>
      </c>
      <c r="Q2" s="112" t="str">
        <f t="shared" si="0"/>
        <v>Year 15</v>
      </c>
      <c r="R2" s="112" t="str">
        <f t="shared" si="0"/>
        <v>Year 16</v>
      </c>
      <c r="S2" s="112" t="str">
        <f t="shared" si="0"/>
        <v>Year 17</v>
      </c>
      <c r="T2" s="112" t="str">
        <f t="shared" si="0"/>
        <v>Year 18</v>
      </c>
      <c r="U2" s="112" t="str">
        <f t="shared" si="0"/>
        <v>Year 19</v>
      </c>
      <c r="V2" s="112" t="str">
        <f t="shared" si="0"/>
        <v>Year 20</v>
      </c>
      <c r="W2" s="112" t="str">
        <f t="shared" si="0"/>
        <v>Year 21</v>
      </c>
      <c r="X2" s="112" t="str">
        <f t="shared" si="0"/>
        <v>Year 22</v>
      </c>
      <c r="Y2" s="112" t="str">
        <f t="shared" si="0"/>
        <v>Year 23</v>
      </c>
      <c r="Z2" s="112" t="str">
        <f t="shared" si="0"/>
        <v>Year 24</v>
      </c>
      <c r="AA2" s="112" t="str">
        <f t="shared" si="0"/>
        <v>Year 25</v>
      </c>
      <c r="AB2" s="112" t="str">
        <f t="shared" si="0"/>
        <v>Year 26</v>
      </c>
      <c r="AC2" s="112" t="str">
        <f t="shared" si="0"/>
        <v>Year 27</v>
      </c>
      <c r="AD2" s="112" t="str">
        <f t="shared" si="0"/>
        <v>Year 28</v>
      </c>
      <c r="AE2" s="112" t="str">
        <f t="shared" si="0"/>
        <v>Year 29</v>
      </c>
      <c r="AF2" s="112" t="str">
        <f t="shared" si="0"/>
        <v>Year 30</v>
      </c>
      <c r="AG2" s="112" t="str">
        <f t="shared" si="0"/>
        <v>Year 31</v>
      </c>
      <c r="AH2" s="112" t="str">
        <f t="shared" si="0"/>
        <v>Year 32</v>
      </c>
      <c r="AI2" s="112" t="str">
        <f t="shared" si="0"/>
        <v>Year 33</v>
      </c>
      <c r="AJ2" s="112" t="str">
        <f t="shared" si="0"/>
        <v>Year 34</v>
      </c>
      <c r="AK2" s="112" t="str">
        <f t="shared" si="0"/>
        <v>Year 35</v>
      </c>
      <c r="AL2" s="112" t="str">
        <f t="shared" si="0"/>
        <v>Year 36</v>
      </c>
      <c r="AM2" s="112" t="str">
        <f t="shared" si="0"/>
        <v>Year 37</v>
      </c>
      <c r="AN2" s="112" t="str">
        <f t="shared" si="0"/>
        <v>Year 38</v>
      </c>
      <c r="AO2" s="112" t="str">
        <f t="shared" si="0"/>
        <v>Year 39</v>
      </c>
      <c r="AP2" s="112" t="str">
        <f t="shared" si="0"/>
        <v>Year 40</v>
      </c>
      <c r="AQ2" s="112" t="str">
        <f t="shared" si="0"/>
        <v>Year 41</v>
      </c>
    </row>
    <row r="3" spans="1:43" x14ac:dyDescent="0.25">
      <c r="A3" t="s">
        <v>30</v>
      </c>
      <c r="B3" s="84" t="s">
        <v>46</v>
      </c>
      <c r="C3" s="79">
        <f>IFERROR(SUMIF('Forecast Detail'!$A:$A,'Forecast Chart'!$A$3&amp;'Forecast Chart'!C$1,'Forecast Detail'!$M:$M),0)</f>
        <v>0</v>
      </c>
      <c r="D3" s="79">
        <f>IFERROR(SUMIF('Forecast Detail'!$A:$A,'Forecast Chart'!$A$3&amp;'Forecast Chart'!D$1,'Forecast Detail'!$M:$M),0)</f>
        <v>0</v>
      </c>
      <c r="E3" s="79">
        <f>IFERROR(SUMIF('Forecast Detail'!$A:$A,'Forecast Chart'!$A$3&amp;'Forecast Chart'!E$1,'Forecast Detail'!$M:$M),0)</f>
        <v>0</v>
      </c>
      <c r="F3" s="79">
        <f>IFERROR(SUMIF('Forecast Detail'!$A:$A,'Forecast Chart'!$A$3&amp;'Forecast Chart'!F$1,'Forecast Detail'!$M:$M),0)</f>
        <v>0</v>
      </c>
      <c r="G3" s="79">
        <f>IFERROR(SUMIF('Forecast Detail'!$A:$A,'Forecast Chart'!$A$3&amp;'Forecast Chart'!G$1,'Forecast Detail'!$M:$M),0)</f>
        <v>0</v>
      </c>
      <c r="H3" s="79">
        <f>IFERROR(SUMIF('Forecast Detail'!$A:$A,'Forecast Chart'!$A$3&amp;'Forecast Chart'!H$1,'Forecast Detail'!$M:$M),0)</f>
        <v>0</v>
      </c>
      <c r="I3" s="79">
        <f>IFERROR(SUMIF('Forecast Detail'!$A:$A,'Forecast Chart'!$A$3&amp;'Forecast Chart'!I$1,'Forecast Detail'!$M:$M),0)</f>
        <v>0</v>
      </c>
      <c r="J3" s="79">
        <f>IFERROR(SUMIF('Forecast Detail'!$A:$A,'Forecast Chart'!$A$3&amp;'Forecast Chart'!J$1,'Forecast Detail'!$M:$M),0)</f>
        <v>0</v>
      </c>
      <c r="K3" s="79">
        <f>IFERROR(SUMIF('Forecast Detail'!$A:$A,'Forecast Chart'!$A$3&amp;'Forecast Chart'!K$1,'Forecast Detail'!$M:$M),0)</f>
        <v>0</v>
      </c>
      <c r="L3" s="79">
        <f>IFERROR(SUMIF('Forecast Detail'!$A:$A,'Forecast Chart'!$A$3&amp;'Forecast Chart'!L$1,'Forecast Detail'!$M:$M),0)</f>
        <v>0</v>
      </c>
      <c r="M3" s="79">
        <f>IFERROR(SUMIF('Forecast Detail'!$A:$A,'Forecast Chart'!$A$3&amp;'Forecast Chart'!M$1,'Forecast Detail'!$M:$M),0)</f>
        <v>0</v>
      </c>
      <c r="N3" s="79">
        <f>IFERROR(SUMIF('Forecast Detail'!$A:$A,'Forecast Chart'!$A$3&amp;'Forecast Chart'!N$1,'Forecast Detail'!$M:$M),0)</f>
        <v>0</v>
      </c>
      <c r="O3" s="79">
        <f>IFERROR(SUMIF('Forecast Detail'!$A:$A,'Forecast Chart'!$A$3&amp;'Forecast Chart'!O$1,'Forecast Detail'!$M:$M),0)</f>
        <v>0</v>
      </c>
      <c r="P3" s="79">
        <f>IFERROR(SUMIF('Forecast Detail'!$A:$A,'Forecast Chart'!$A$3&amp;'Forecast Chart'!P$1,'Forecast Detail'!$M:$M),0)</f>
        <v>0</v>
      </c>
      <c r="Q3" s="79">
        <f>IFERROR(SUMIF('Forecast Detail'!$A:$A,'Forecast Chart'!$A$3&amp;'Forecast Chart'!Q$1,'Forecast Detail'!$M:$M),0)</f>
        <v>0</v>
      </c>
      <c r="R3" s="79">
        <f>IFERROR(SUMIF('Forecast Detail'!$A:$A,'Forecast Chart'!$A$3&amp;'Forecast Chart'!R$1,'Forecast Detail'!$M:$M),0)</f>
        <v>0</v>
      </c>
      <c r="S3" s="79">
        <f>IFERROR(SUMIF('Forecast Detail'!$A:$A,'Forecast Chart'!$A$3&amp;'Forecast Chart'!S$1,'Forecast Detail'!$M:$M),0)</f>
        <v>0</v>
      </c>
      <c r="T3" s="79">
        <f>IFERROR(SUMIF('Forecast Detail'!$A:$A,'Forecast Chart'!$A$3&amp;'Forecast Chart'!T$1,'Forecast Detail'!$M:$M),0)</f>
        <v>0</v>
      </c>
      <c r="U3" s="79">
        <f>IFERROR(SUMIF('Forecast Detail'!$A:$A,'Forecast Chart'!$A$3&amp;'Forecast Chart'!U$1,'Forecast Detail'!$M:$M),0)</f>
        <v>0</v>
      </c>
      <c r="V3" s="79">
        <f>IFERROR(SUMIF('Forecast Detail'!$A:$A,'Forecast Chart'!$A$3&amp;'Forecast Chart'!V$1,'Forecast Detail'!$M:$M),0)</f>
        <v>0</v>
      </c>
      <c r="W3" s="79">
        <f>IFERROR(SUMIF('Forecast Detail'!$A:$A,'Forecast Chart'!$A$3&amp;'Forecast Chart'!W$1,'Forecast Detail'!$M:$M),0)</f>
        <v>0</v>
      </c>
      <c r="X3" s="79">
        <f>IFERROR(SUMIF('Forecast Detail'!$A:$A,'Forecast Chart'!$A$3&amp;'Forecast Chart'!X$1,'Forecast Detail'!$M:$M),0)</f>
        <v>0</v>
      </c>
      <c r="Y3" s="79">
        <f>IFERROR(SUMIF('Forecast Detail'!$A:$A,'Forecast Chart'!$A$3&amp;'Forecast Chart'!Y$1,'Forecast Detail'!$M:$M),0)</f>
        <v>0</v>
      </c>
      <c r="Z3" s="79">
        <f>IFERROR(SUMIF('Forecast Detail'!$A:$A,'Forecast Chart'!$A$3&amp;'Forecast Chart'!Z$1,'Forecast Detail'!$M:$M),0)</f>
        <v>0</v>
      </c>
      <c r="AA3" s="79">
        <f>IFERROR(SUMIF('Forecast Detail'!$A:$A,'Forecast Chart'!$A$3&amp;'Forecast Chart'!AA$1,'Forecast Detail'!$M:$M),0)</f>
        <v>0</v>
      </c>
      <c r="AB3" s="79">
        <f>IFERROR(SUMIF('Forecast Detail'!$A:$A,'Forecast Chart'!$A$3&amp;'Forecast Chart'!AB$1,'Forecast Detail'!$M:$M),0)</f>
        <v>0</v>
      </c>
      <c r="AC3" s="79">
        <f>IFERROR(SUMIF('Forecast Detail'!$A:$A,'Forecast Chart'!$A$3&amp;'Forecast Chart'!AC$1,'Forecast Detail'!$M:$M),0)</f>
        <v>0</v>
      </c>
      <c r="AD3" s="79">
        <f>IFERROR(SUMIF('Forecast Detail'!$A:$A,'Forecast Chart'!$A$3&amp;'Forecast Chart'!AD$1,'Forecast Detail'!$M:$M),0)</f>
        <v>0</v>
      </c>
      <c r="AE3" s="79">
        <f>IFERROR(SUMIF('Forecast Detail'!$A:$A,'Forecast Chart'!$A$3&amp;'Forecast Chart'!AE$1,'Forecast Detail'!$M:$M),0)</f>
        <v>0</v>
      </c>
      <c r="AF3" s="79">
        <f>IFERROR(SUMIF('Forecast Detail'!$A:$A,'Forecast Chart'!$A$3&amp;'Forecast Chart'!AF$1,'Forecast Detail'!$M:$M),0)</f>
        <v>0</v>
      </c>
      <c r="AG3" s="79">
        <f>IFERROR(SUMIF('Forecast Detail'!$A:$A,'Forecast Chart'!$A$3&amp;'Forecast Chart'!AG$1,'Forecast Detail'!$M:$M),0)</f>
        <v>0</v>
      </c>
      <c r="AH3" s="79">
        <f>IFERROR(SUMIF('Forecast Detail'!$A:$A,'Forecast Chart'!$A$3&amp;'Forecast Chart'!AH$1,'Forecast Detail'!$M:$M),0)</f>
        <v>0</v>
      </c>
      <c r="AI3" s="79">
        <f>IFERROR(SUMIF('Forecast Detail'!$A:$A,'Forecast Chart'!$A$3&amp;'Forecast Chart'!AI$1,'Forecast Detail'!$M:$M),0)</f>
        <v>0</v>
      </c>
      <c r="AJ3" s="79">
        <f>IFERROR(SUMIF('Forecast Detail'!$A:$A,'Forecast Chart'!$A$3&amp;'Forecast Chart'!AJ$1,'Forecast Detail'!$M:$M),0)</f>
        <v>0</v>
      </c>
      <c r="AK3" s="79">
        <f>IFERROR(SUMIF('Forecast Detail'!$A:$A,'Forecast Chart'!$A$3&amp;'Forecast Chart'!AK$1,'Forecast Detail'!$M:$M),0)</f>
        <v>0</v>
      </c>
      <c r="AL3" s="79">
        <f>IFERROR(SUMIF('Forecast Detail'!$A:$A,'Forecast Chart'!$A$3&amp;'Forecast Chart'!AL$1,'Forecast Detail'!$M:$M),0)</f>
        <v>0</v>
      </c>
      <c r="AM3" s="79">
        <f>IFERROR(SUMIF('Forecast Detail'!$A:$A,'Forecast Chart'!$A$3&amp;'Forecast Chart'!AM$1,'Forecast Detail'!$M:$M),0)</f>
        <v>0</v>
      </c>
      <c r="AN3" s="79">
        <f>IFERROR(SUMIF('Forecast Detail'!$A:$A,'Forecast Chart'!$A$3&amp;'Forecast Chart'!AN$1,'Forecast Detail'!$M:$M),0)</f>
        <v>0</v>
      </c>
      <c r="AO3" s="79">
        <f>IFERROR(SUMIF('Forecast Detail'!$A:$A,'Forecast Chart'!$A$3&amp;'Forecast Chart'!AO$1,'Forecast Detail'!$M:$M),0)</f>
        <v>0</v>
      </c>
      <c r="AP3" s="79">
        <f>IFERROR(SUMIF('Forecast Detail'!$A:$A,'Forecast Chart'!$A$3&amp;'Forecast Chart'!AP$1,'Forecast Detail'!$M:$M),0)</f>
        <v>0</v>
      </c>
      <c r="AQ3" s="79">
        <f>IFERROR(SUMIF('Forecast Detail'!$A:$A,'Forecast Chart'!$A$3&amp;'Forecast Chart'!AQ$1,'Forecast Detail'!$M:$M),0)</f>
        <v>0</v>
      </c>
    </row>
    <row r="4" spans="1:43" x14ac:dyDescent="0.25">
      <c r="A4" t="s">
        <v>32</v>
      </c>
      <c r="B4" s="84" t="s">
        <v>47</v>
      </c>
      <c r="C4" s="79">
        <f>IFERROR(SUMIF('Forecast Detail'!A:A,'Forecast Chart'!A4&amp;'Forecast Chart'!C$1,'Forecast Detail'!M:M),0)</f>
        <v>240736.06230789772</v>
      </c>
      <c r="D4" s="79">
        <f>IFERROR(SUMIF('Forecast Detail'!$A:$A,'Forecast Chart'!$A$4&amp;'Forecast Chart'!D$1,'Forecast Detail'!$M:$M),0)</f>
        <v>256359.83275168031</v>
      </c>
      <c r="E4" s="79">
        <f>IFERROR(SUMIF('Forecast Detail'!$A:$A,'Forecast Chart'!$A$4&amp;'Forecast Chart'!E$1,'Forecast Detail'!$M:$M),0)</f>
        <v>272997.5858972643</v>
      </c>
      <c r="F4" s="79">
        <f>IFERROR(SUMIF('Forecast Detail'!$A:$A,'Forecast Chart'!$A$4&amp;'Forecast Chart'!F$1,'Forecast Detail'!$M:$M),0)</f>
        <v>290715.12922199676</v>
      </c>
      <c r="G4" s="79">
        <f>IFERROR(SUMIF('Forecast Detail'!$A:$A,'Forecast Chart'!$A$4&amp;'Forecast Chart'!G$1,'Forecast Detail'!$M:$M),0)</f>
        <v>309582.54110850429</v>
      </c>
      <c r="H4" s="79">
        <f>IFERROR(SUMIF('Forecast Detail'!$A:$A,'Forecast Chart'!$A$4&amp;'Forecast Chart'!H$1,'Forecast Detail'!$M:$M),0)</f>
        <v>329674.44802644628</v>
      </c>
      <c r="I4" s="79">
        <f>IFERROR(SUMIF('Forecast Detail'!$A:$A,'Forecast Chart'!$A$4&amp;'Forecast Chart'!I$1,'Forecast Detail'!$M:$M),0)</f>
        <v>351070.31970336259</v>
      </c>
      <c r="J4" s="79">
        <f>IFERROR(SUMIF('Forecast Detail'!$A:$A,'Forecast Chart'!$A$4&amp;'Forecast Chart'!J$1,'Forecast Detail'!$M:$M),0)</f>
        <v>373854.78345211077</v>
      </c>
      <c r="K4" s="79">
        <f>IFERROR(SUMIF('Forecast Detail'!$A:$A,'Forecast Chart'!$A$4&amp;'Forecast Chart'!K$1,'Forecast Detail'!$M:$M),0)</f>
        <v>398117.95889815275</v>
      </c>
      <c r="L4" s="79">
        <f>IFERROR(SUMIF('Forecast Detail'!$A:$A,'Forecast Chart'!$A$4&amp;'Forecast Chart'!L$1,'Forecast Detail'!$M:$M),0)</f>
        <v>423955.81443064287</v>
      </c>
      <c r="M4" s="79">
        <f>IFERROR(SUMIF('Forecast Detail'!$A:$A,'Forecast Chart'!$A$4&amp;'Forecast Chart'!M$1,'Forecast Detail'!$M:$M),0)</f>
        <v>451470.54678719153</v>
      </c>
      <c r="N4" s="79">
        <f>IFERROR(SUMIF('Forecast Detail'!$A:$A,'Forecast Chart'!$A$4&amp;'Forecast Chart'!N$1,'Forecast Detail'!$M:$M),0)</f>
        <v>480770.9852736803</v>
      </c>
      <c r="O4" s="79">
        <f>IFERROR(SUMIF('Forecast Detail'!$A:$A,'Forecast Chart'!$A$4&amp;'Forecast Chart'!O$1,'Forecast Detail'!$M:$M),0)</f>
        <v>511973.02221794211</v>
      </c>
      <c r="P4" s="79">
        <f>IFERROR(SUMIF('Forecast Detail'!$A:$A,'Forecast Chart'!$A$4&amp;'Forecast Chart'!P$1,'Forecast Detail'!$M:$M),0)</f>
        <v>545200.07135988656</v>
      </c>
      <c r="Q4" s="79">
        <f>IFERROR(SUMIF('Forecast Detail'!$A:$A,'Forecast Chart'!$A$4&amp;'Forecast Chart'!Q$1,'Forecast Detail'!$M:$M),0)</f>
        <v>580583.5559911431</v>
      </c>
      <c r="R4" s="79">
        <f>IFERROR(SUMIF('Forecast Detail'!$A:$A,'Forecast Chart'!$A$4&amp;'Forecast Chart'!R$1,'Forecast Detail'!$M:$M),0)</f>
        <v>618263.42877496826</v>
      </c>
      <c r="S4" s="79">
        <f>IFERROR(SUMIF('Forecast Detail'!$A:$A,'Forecast Chart'!$A$4&amp;'Forecast Chart'!S$1,'Forecast Detail'!$M:$M),0)</f>
        <v>658388.72530246375</v>
      </c>
      <c r="T4" s="79">
        <f>IFERROR(SUMIF('Forecast Detail'!$A:$A,'Forecast Chart'!$A$4&amp;'Forecast Chart'!T$1,'Forecast Detail'!$M:$M),0)</f>
        <v>701118.1535745936</v>
      </c>
      <c r="U4" s="79">
        <f>IFERROR(SUMIF('Forecast Detail'!$A:$A,'Forecast Chart'!$A$4&amp;'Forecast Chart'!U$1,'Forecast Detail'!$M:$M),0)</f>
        <v>746620.7217415846</v>
      </c>
      <c r="V4" s="79">
        <f>IFERROR(SUMIF('Forecast Detail'!$A:$A,'Forecast Chart'!$A$4&amp;'Forecast Chart'!V$1,'Forecast Detail'!$M:$M),0)</f>
        <v>795076.40658261348</v>
      </c>
      <c r="W4" s="79">
        <f>IFERROR(SUMIF('Forecast Detail'!$A:$A,'Forecast Chart'!$A$4&amp;'Forecast Chart'!W$1,'Forecast Detail'!$M:$M),0)</f>
        <v>846676.86536982493</v>
      </c>
      <c r="X4" s="79">
        <f>IFERROR(SUMIF('Forecast Detail'!$A:$A,'Forecast Chart'!$A$4&amp;'Forecast Chart'!X$1,'Forecast Detail'!$M:$M),0)</f>
        <v>901626.19393232651</v>
      </c>
      <c r="Y4" s="79">
        <f>IFERROR(SUMIF('Forecast Detail'!$A:$A,'Forecast Chart'!$A$4&amp;'Forecast Chart'!Y$1,'Forecast Detail'!$M:$M),0)</f>
        <v>960141.73391853448</v>
      </c>
      <c r="Z4" s="79">
        <f>IFERROR(SUMIF('Forecast Detail'!$A:$A,'Forecast Chart'!$A$4&amp;'Forecast Chart'!Z$1,'Forecast Detail'!$M:$M),0)</f>
        <v>1022454.9324498475</v>
      </c>
      <c r="AA4" s="79">
        <f>IFERROR(SUMIF('Forecast Detail'!$A:$A,'Forecast Chart'!$A$4&amp;'Forecast Chart'!AA$1,'Forecast Detail'!$M:$M),0)</f>
        <v>1088812.2575658425</v>
      </c>
      <c r="AB4" s="79">
        <f>IFERROR(SUMIF('Forecast Detail'!$A:$A,'Forecast Chart'!$A$4&amp;'Forecast Chart'!AB$1,'Forecast Detail'!$M:$M),0)</f>
        <v>1159476.1730818655</v>
      </c>
      <c r="AC4" s="79">
        <f>IFERROR(SUMIF('Forecast Detail'!$A:$A,'Forecast Chart'!$A$4&amp;'Forecast Chart'!AC$1,'Forecast Detail'!$M:$M),0)</f>
        <v>1234726.1767148788</v>
      </c>
      <c r="AD4" s="79">
        <f>IFERROR(SUMIF('Forecast Detail'!$A:$A,'Forecast Chart'!$A$4&amp;'Forecast Chart'!AD$1,'Forecast Detail'!$M:$M),0)</f>
        <v>1314859.9055836746</v>
      </c>
      <c r="AE4" s="79">
        <f>IFERROR(SUMIF('Forecast Detail'!$A:$A,'Forecast Chart'!$A$4&amp;'Forecast Chart'!AE$1,'Forecast Detail'!$M:$M),0)</f>
        <v>1400194.313456055</v>
      </c>
      <c r="AF4" s="79">
        <f>IFERROR(SUMIF('Forecast Detail'!$A:$A,'Forecast Chart'!$A$4&amp;'Forecast Chart'!AF$1,'Forecast Detail'!$M:$M),0)</f>
        <v>1491066.9243993531</v>
      </c>
      <c r="AG4" s="79">
        <f>IFERROR(SUMIF('Forecast Detail'!$A:$A,'Forecast Chart'!$A$4&amp;'Forecast Chart'!AG$1,'Forecast Detail'!$M:$M),0)</f>
        <v>1587837.1677928707</v>
      </c>
      <c r="AH4" s="79">
        <f>IFERROR(SUMIF('Forecast Detail'!$A:$A,'Forecast Chart'!$A$4&amp;'Forecast Chart'!AH$1,'Forecast Detail'!$M:$M),0)</f>
        <v>1690887.7999826279</v>
      </c>
      <c r="AI4" s="79">
        <f>IFERROR(SUMIF('Forecast Detail'!$A:$A,'Forecast Chart'!$A$4&amp;'Forecast Chart'!AI$1,'Forecast Detail'!$M:$M),0)</f>
        <v>1800626.4182015005</v>
      </c>
      <c r="AJ4" s="79">
        <f>IFERROR(SUMIF('Forecast Detail'!$A:$A,'Forecast Chart'!$A$4&amp;'Forecast Chart'!AJ$1,'Forecast Detail'!$M:$M),0)</f>
        <v>1917487.0727427776</v>
      </c>
      <c r="AK4" s="79">
        <f>IFERROR(SUMIF('Forecast Detail'!$A:$A,'Forecast Chart'!$A$4&amp;'Forecast Chart'!AK$1,'Forecast Detail'!$M:$M),0)</f>
        <v>2041931.9837637837</v>
      </c>
      <c r="AL4" s="79">
        <f>IFERROR(SUMIF('Forecast Detail'!$A:$A,'Forecast Chart'!$A$4&amp;'Forecast Chart'!AL$1,'Forecast Detail'!$M:$M),0)</f>
        <v>2174453.3695100537</v>
      </c>
      <c r="AM4" s="79">
        <f>IFERROR(SUMIF('Forecast Detail'!$A:$A,'Forecast Chart'!$A$4&amp;'Forecast Chart'!AM$1,'Forecast Detail'!$M:$M),0)</f>
        <v>2315575.3931912561</v>
      </c>
      <c r="AN4" s="79">
        <f>IFERROR(SUMIF('Forecast Detail'!$A:$A,'Forecast Chart'!$A$4&amp;'Forecast Chart'!AN$1,'Forecast Detail'!$M:$M),0)</f>
        <v>2465856.2362093683</v>
      </c>
      <c r="AO4" s="79">
        <f>IFERROR(SUMIF('Forecast Detail'!$A:$A,'Forecast Chart'!$A$4&amp;'Forecast Chart'!AO$1,'Forecast Detail'!$M:$M),0)</f>
        <v>2625890.3059393568</v>
      </c>
      <c r="AP4" s="79">
        <f>IFERROR(SUMIF('Forecast Detail'!$A:$A,'Forecast Chart'!$A$4&amp;'Forecast Chart'!AP$1,'Forecast Detail'!$M:$M),0)</f>
        <v>2796310.5867948206</v>
      </c>
      <c r="AQ4" s="79">
        <f>IFERROR(SUMIF('Forecast Detail'!$A:$A,'Forecast Chart'!$A$4&amp;'Forecast Chart'!AQ$1,'Forecast Detail'!$M:$M),0)</f>
        <v>2977791.1438778043</v>
      </c>
    </row>
    <row r="5" spans="1:43" x14ac:dyDescent="0.25">
      <c r="A5" t="s">
        <v>34</v>
      </c>
      <c r="B5" s="127" t="s">
        <v>48</v>
      </c>
      <c r="C5" s="128">
        <f>IFERROR(SUMIF('Forecast Detail'!A:A,'Forecast Chart'!A5&amp;'Forecast Chart'!C$1,'Forecast Detail'!M:M),0)</f>
        <v>0</v>
      </c>
      <c r="D5" s="128">
        <f>IFERROR(SUMIF('Forecast Detail'!$A:$A,'Forecast Chart'!$A$5&amp;'Forecast Chart'!D$1,'Forecast Detail'!$M:$M),0)</f>
        <v>0</v>
      </c>
      <c r="E5" s="128">
        <f>IFERROR(SUMIF('Forecast Detail'!$A:$A,'Forecast Chart'!$A$5&amp;'Forecast Chart'!E$1,'Forecast Detail'!$M:$M),0)</f>
        <v>0</v>
      </c>
      <c r="F5" s="128">
        <f>IFERROR(SUMIF('Forecast Detail'!$A:$A,'Forecast Chart'!$A$5&amp;'Forecast Chart'!F$1,'Forecast Detail'!$M:$M),0)</f>
        <v>0</v>
      </c>
      <c r="G5" s="128">
        <f>IFERROR(SUMIF('Forecast Detail'!$A:$A,'Forecast Chart'!$A$5&amp;'Forecast Chart'!G$1,'Forecast Detail'!$M:$M),0)</f>
        <v>0</v>
      </c>
      <c r="H5" s="128">
        <f>IFERROR(SUMIF('Forecast Detail'!$A:$A,'Forecast Chart'!$A$5&amp;'Forecast Chart'!H$1,'Forecast Detail'!$M:$M),0)</f>
        <v>0</v>
      </c>
      <c r="I5" s="128">
        <f>IFERROR(SUMIF('Forecast Detail'!$A:$A,'Forecast Chart'!$A$5&amp;'Forecast Chart'!I$1,'Forecast Detail'!$M:$M),0)</f>
        <v>0</v>
      </c>
      <c r="J5" s="128">
        <f>IFERROR(SUMIF('Forecast Detail'!$A:$A,'Forecast Chart'!$A$5&amp;'Forecast Chart'!J$1,'Forecast Detail'!$M:$M),0)</f>
        <v>0</v>
      </c>
      <c r="K5" s="128">
        <f>IFERROR(SUMIF('Forecast Detail'!$A:$A,'Forecast Chart'!$A$5&amp;'Forecast Chart'!K$1,'Forecast Detail'!$M:$M),0)</f>
        <v>0</v>
      </c>
      <c r="L5" s="128">
        <f>IFERROR(SUMIF('Forecast Detail'!$A:$A,'Forecast Chart'!$A$5&amp;'Forecast Chart'!L$1,'Forecast Detail'!$M:$M),0)</f>
        <v>0</v>
      </c>
      <c r="M5" s="128">
        <f>IFERROR(SUMIF('Forecast Detail'!$A:$A,'Forecast Chart'!$A$5&amp;'Forecast Chart'!M$1,'Forecast Detail'!$M:$M),0)</f>
        <v>0</v>
      </c>
      <c r="N5" s="128">
        <f>IFERROR(SUMIF('Forecast Detail'!$A:$A,'Forecast Chart'!$A$5&amp;'Forecast Chart'!N$1,'Forecast Detail'!$M:$M),0)</f>
        <v>0</v>
      </c>
      <c r="O5" s="128">
        <f>IFERROR(SUMIF('Forecast Detail'!$A:$A,'Forecast Chart'!$A$5&amp;'Forecast Chart'!O$1,'Forecast Detail'!$M:$M),0)</f>
        <v>0</v>
      </c>
      <c r="P5" s="128">
        <f>IFERROR(SUMIF('Forecast Detail'!$A:$A,'Forecast Chart'!$A$5&amp;'Forecast Chart'!P$1,'Forecast Detail'!$M:$M),0)</f>
        <v>0</v>
      </c>
      <c r="Q5" s="128">
        <f>IFERROR(SUMIF('Forecast Detail'!$A:$A,'Forecast Chart'!$A$5&amp;'Forecast Chart'!Q$1,'Forecast Detail'!$M:$M),0)</f>
        <v>0</v>
      </c>
      <c r="R5" s="128">
        <f>IFERROR(SUMIF('Forecast Detail'!$A:$A,'Forecast Chart'!$A$5&amp;'Forecast Chart'!R$1,'Forecast Detail'!$M:$M),0)</f>
        <v>0</v>
      </c>
      <c r="S5" s="128">
        <f>IFERROR(SUMIF('Forecast Detail'!$A:$A,'Forecast Chart'!$A$5&amp;'Forecast Chart'!S$1,'Forecast Detail'!$M:$M),0)</f>
        <v>0</v>
      </c>
      <c r="T5" s="128">
        <f>IFERROR(SUMIF('Forecast Detail'!$A:$A,'Forecast Chart'!$A$5&amp;'Forecast Chart'!T$1,'Forecast Detail'!$M:$M),0)</f>
        <v>0</v>
      </c>
      <c r="U5" s="128">
        <f>IFERROR(SUMIF('Forecast Detail'!$A:$A,'Forecast Chart'!$A$5&amp;'Forecast Chart'!U$1,'Forecast Detail'!$M:$M),0)</f>
        <v>0</v>
      </c>
      <c r="V5" s="128">
        <f>IFERROR(SUMIF('Forecast Detail'!$A:$A,'Forecast Chart'!$A$5&amp;'Forecast Chart'!V$1,'Forecast Detail'!$M:$M),0)</f>
        <v>0</v>
      </c>
      <c r="W5" s="128">
        <f>IFERROR(SUMIF('Forecast Detail'!$A:$A,'Forecast Chart'!$A$5&amp;'Forecast Chart'!W$1,'Forecast Detail'!$M:$M),0)</f>
        <v>0</v>
      </c>
      <c r="X5" s="128">
        <f>IFERROR(SUMIF('Forecast Detail'!$A:$A,'Forecast Chart'!$A$5&amp;'Forecast Chart'!X$1,'Forecast Detail'!$M:$M),0)</f>
        <v>0</v>
      </c>
      <c r="Y5" s="128">
        <f>IFERROR(SUMIF('Forecast Detail'!$A:$A,'Forecast Chart'!$A$5&amp;'Forecast Chart'!Y$1,'Forecast Detail'!$M:$M),0)</f>
        <v>0</v>
      </c>
      <c r="Z5" s="128">
        <f>IFERROR(SUMIF('Forecast Detail'!$A:$A,'Forecast Chart'!$A$5&amp;'Forecast Chart'!Z$1,'Forecast Detail'!$M:$M),0)</f>
        <v>0</v>
      </c>
      <c r="AA5" s="128">
        <f>IFERROR(SUMIF('Forecast Detail'!$A:$A,'Forecast Chart'!$A$5&amp;'Forecast Chart'!AA$1,'Forecast Detail'!$M:$M),0)</f>
        <v>0</v>
      </c>
      <c r="AB5" s="128">
        <f>IFERROR(SUMIF('Forecast Detail'!$A:$A,'Forecast Chart'!$A$5&amp;'Forecast Chart'!AB$1,'Forecast Detail'!$M:$M),0)</f>
        <v>0</v>
      </c>
      <c r="AC5" s="128">
        <f>IFERROR(SUMIF('Forecast Detail'!$A:$A,'Forecast Chart'!$A$5&amp;'Forecast Chart'!AC$1,'Forecast Detail'!$M:$M),0)</f>
        <v>0</v>
      </c>
      <c r="AD5" s="128">
        <f>IFERROR(SUMIF('Forecast Detail'!$A:$A,'Forecast Chart'!$A$5&amp;'Forecast Chart'!AD$1,'Forecast Detail'!$M:$M),0)</f>
        <v>0</v>
      </c>
      <c r="AE5" s="128">
        <f>IFERROR(SUMIF('Forecast Detail'!$A:$A,'Forecast Chart'!$A$5&amp;'Forecast Chart'!AE$1,'Forecast Detail'!$M:$M),0)</f>
        <v>0</v>
      </c>
      <c r="AF5" s="128">
        <f>IFERROR(SUMIF('Forecast Detail'!$A:$A,'Forecast Chart'!$A$5&amp;'Forecast Chart'!AF$1,'Forecast Detail'!$M:$M),0)</f>
        <v>0</v>
      </c>
      <c r="AG5" s="128">
        <f>IFERROR(SUMIF('Forecast Detail'!$A:$A,'Forecast Chart'!$A$5&amp;'Forecast Chart'!AG$1,'Forecast Detail'!$M:$M),0)</f>
        <v>0</v>
      </c>
      <c r="AH5" s="128">
        <f>IFERROR(SUMIF('Forecast Detail'!$A:$A,'Forecast Chart'!$A$5&amp;'Forecast Chart'!AH$1,'Forecast Detail'!$M:$M),0)</f>
        <v>0</v>
      </c>
      <c r="AI5" s="128">
        <f>IFERROR(SUMIF('Forecast Detail'!$A:$A,'Forecast Chart'!$A$5&amp;'Forecast Chart'!AI$1,'Forecast Detail'!$M:$M),0)</f>
        <v>0</v>
      </c>
      <c r="AJ5" s="128">
        <f>IFERROR(SUMIF('Forecast Detail'!$A:$A,'Forecast Chart'!$A$5&amp;'Forecast Chart'!AJ$1,'Forecast Detail'!$M:$M),0)</f>
        <v>0</v>
      </c>
      <c r="AK5" s="128">
        <f>IFERROR(SUMIF('Forecast Detail'!$A:$A,'Forecast Chart'!$A$5&amp;'Forecast Chart'!AK$1,'Forecast Detail'!$M:$M),0)</f>
        <v>0</v>
      </c>
      <c r="AL5" s="128">
        <f>IFERROR(SUMIF('Forecast Detail'!$A:$A,'Forecast Chart'!$A$5&amp;'Forecast Chart'!AL$1,'Forecast Detail'!$M:$M),0)</f>
        <v>0</v>
      </c>
      <c r="AM5" s="128">
        <f>IFERROR(SUMIF('Forecast Detail'!$A:$A,'Forecast Chart'!$A$5&amp;'Forecast Chart'!AM$1,'Forecast Detail'!$M:$M),0)</f>
        <v>0</v>
      </c>
      <c r="AN5" s="128">
        <f>IFERROR(SUMIF('Forecast Detail'!$A:$A,'Forecast Chart'!$A$5&amp;'Forecast Chart'!AN$1,'Forecast Detail'!$M:$M),0)</f>
        <v>0</v>
      </c>
      <c r="AO5" s="128">
        <f>IFERROR(SUMIF('Forecast Detail'!$A:$A,'Forecast Chart'!$A$5&amp;'Forecast Chart'!AO$1,'Forecast Detail'!$M:$M),0)</f>
        <v>0</v>
      </c>
      <c r="AP5" s="128">
        <f>IFERROR(SUMIF('Forecast Detail'!$A:$A,'Forecast Chart'!$A$5&amp;'Forecast Chart'!AP$1,'Forecast Detail'!$M:$M),0)</f>
        <v>0</v>
      </c>
      <c r="AQ5" s="128">
        <f>IFERROR(SUMIF('Forecast Detail'!$A:$A,'Forecast Chart'!$A$5&amp;'Forecast Chart'!AQ$1,'Forecast Detail'!$M:$M),0)</f>
        <v>0</v>
      </c>
    </row>
    <row r="10" spans="1:43" x14ac:dyDescent="0.25">
      <c r="B10" s="10"/>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D78E9-10B8-4589-9369-03AC782D5C47}">
  <sheetPr codeName="Sheet7"/>
  <dimension ref="A1:L244"/>
  <sheetViews>
    <sheetView zoomScale="80" zoomScaleNormal="80" workbookViewId="0">
      <selection activeCell="Q25" sqref="Q25"/>
    </sheetView>
  </sheetViews>
  <sheetFormatPr defaultRowHeight="12.5" x14ac:dyDescent="0.25"/>
  <cols>
    <col min="3" max="3" width="10.453125" bestFit="1" customWidth="1"/>
  </cols>
  <sheetData>
    <row r="1" spans="1:12" ht="14" x14ac:dyDescent="0.3">
      <c r="A1" t="s">
        <v>8</v>
      </c>
      <c r="B1" s="27" t="s">
        <v>14</v>
      </c>
      <c r="C1" s="27" t="s">
        <v>103</v>
      </c>
      <c r="D1" s="27" t="s">
        <v>15</v>
      </c>
      <c r="F1" s="11" t="s">
        <v>38</v>
      </c>
      <c r="G1" s="11" t="s">
        <v>40</v>
      </c>
      <c r="H1" s="11" t="s">
        <v>39</v>
      </c>
      <c r="I1" s="11" t="s">
        <v>2</v>
      </c>
    </row>
    <row r="2" spans="1:12" x14ac:dyDescent="0.25">
      <c r="A2">
        <v>2021</v>
      </c>
      <c r="B2" s="23" t="s">
        <v>16</v>
      </c>
      <c r="C2" s="23" t="str">
        <f>B2&amp;A2</f>
        <v>NG2021</v>
      </c>
      <c r="D2" s="18">
        <v>3.3599999999999998E-2</v>
      </c>
      <c r="F2">
        <v>2015</v>
      </c>
      <c r="G2">
        <v>1.0241</v>
      </c>
      <c r="H2">
        <v>5.4999999999999997E-3</v>
      </c>
      <c r="I2">
        <v>1.47E-2</v>
      </c>
      <c r="L2" s="12"/>
    </row>
    <row r="3" spans="1:12" x14ac:dyDescent="0.25">
      <c r="A3">
        <v>2021</v>
      </c>
      <c r="B3" s="18" t="s">
        <v>17</v>
      </c>
      <c r="C3" s="23" t="str">
        <f t="shared" ref="C3:C66" si="0">B3&amp;A3</f>
        <v>SPT2021</v>
      </c>
      <c r="D3" s="18">
        <v>3.3599999999999998E-2</v>
      </c>
      <c r="F3">
        <f>F2+1</f>
        <v>2016</v>
      </c>
      <c r="G3">
        <v>1.0093000000000001</v>
      </c>
      <c r="H3">
        <v>4.7000000000000002E-3</v>
      </c>
      <c r="I3">
        <v>1.47E-2</v>
      </c>
      <c r="L3" s="12"/>
    </row>
    <row r="4" spans="1:12" x14ac:dyDescent="0.25">
      <c r="A4">
        <v>2021</v>
      </c>
      <c r="B4" s="18" t="s">
        <v>18</v>
      </c>
      <c r="C4" s="23" t="str">
        <f t="shared" si="0"/>
        <v>SHETL2021</v>
      </c>
      <c r="D4" s="18">
        <v>2.8199999999999999E-2</v>
      </c>
      <c r="F4">
        <f t="shared" ref="F4:F67" si="1">F3+1</f>
        <v>2017</v>
      </c>
      <c r="G4">
        <v>1.0179</v>
      </c>
      <c r="H4">
        <v>4.4999999999999997E-3</v>
      </c>
      <c r="I4">
        <v>1.47E-2</v>
      </c>
      <c r="L4" s="12"/>
    </row>
    <row r="5" spans="1:12" x14ac:dyDescent="0.25">
      <c r="A5">
        <f>A2+1</f>
        <v>2022</v>
      </c>
      <c r="B5" s="23" t="s">
        <v>16</v>
      </c>
      <c r="C5" s="23" t="str">
        <f t="shared" si="0"/>
        <v>NG2022</v>
      </c>
      <c r="D5">
        <v>3.4099999999999998E-2</v>
      </c>
      <c r="F5">
        <f t="shared" si="1"/>
        <v>2018</v>
      </c>
      <c r="G5">
        <v>1.0375000000000001</v>
      </c>
      <c r="H5">
        <v>5.4000000000000003E-3</v>
      </c>
      <c r="I5">
        <v>1.47E-2</v>
      </c>
      <c r="L5" s="12"/>
    </row>
    <row r="6" spans="1:12" x14ac:dyDescent="0.25">
      <c r="A6">
        <f t="shared" ref="A6:A69" si="2">A3+1</f>
        <v>2022</v>
      </c>
      <c r="B6" s="18" t="s">
        <v>17</v>
      </c>
      <c r="C6" s="23" t="str">
        <f t="shared" si="0"/>
        <v>SPT2022</v>
      </c>
      <c r="D6">
        <v>3.2800000000000003E-2</v>
      </c>
      <c r="E6" s="46"/>
      <c r="F6">
        <f t="shared" si="1"/>
        <v>2019</v>
      </c>
      <c r="G6">
        <v>1.0333000000000001</v>
      </c>
      <c r="H6">
        <v>4.4999999999999997E-3</v>
      </c>
      <c r="I6">
        <v>1.47E-2</v>
      </c>
      <c r="L6" s="12"/>
    </row>
    <row r="7" spans="1:12" x14ac:dyDescent="0.25">
      <c r="A7">
        <f t="shared" si="2"/>
        <v>2022</v>
      </c>
      <c r="B7" s="18" t="s">
        <v>18</v>
      </c>
      <c r="C7" s="23" t="str">
        <f t="shared" si="0"/>
        <v>SHETL2022</v>
      </c>
      <c r="D7">
        <v>2.7900000000000001E-2</v>
      </c>
      <c r="E7" s="46"/>
      <c r="F7">
        <f t="shared" si="1"/>
        <v>2020</v>
      </c>
      <c r="G7">
        <v>1.0263</v>
      </c>
      <c r="H7">
        <v>4.1000000000000003E-3</v>
      </c>
      <c r="I7">
        <v>1.47E-2</v>
      </c>
      <c r="L7" s="12"/>
    </row>
    <row r="8" spans="1:12" x14ac:dyDescent="0.25">
      <c r="A8">
        <f t="shared" si="2"/>
        <v>2023</v>
      </c>
      <c r="B8" s="23" t="s">
        <v>16</v>
      </c>
      <c r="C8" s="23" t="str">
        <f t="shared" si="0"/>
        <v>NG2023</v>
      </c>
      <c r="D8">
        <v>0.04</v>
      </c>
      <c r="E8" s="46"/>
      <c r="F8" s="152">
        <f t="shared" si="1"/>
        <v>2021</v>
      </c>
      <c r="G8" s="152">
        <v>1.0113000000000001</v>
      </c>
      <c r="H8" s="152">
        <v>3.7000000000000002E-3</v>
      </c>
      <c r="I8" s="152">
        <v>1.06E-2</v>
      </c>
      <c r="L8" s="12"/>
    </row>
    <row r="9" spans="1:12" x14ac:dyDescent="0.25">
      <c r="A9">
        <f t="shared" si="2"/>
        <v>2023</v>
      </c>
      <c r="B9" s="18" t="s">
        <v>17</v>
      </c>
      <c r="C9" s="23" t="str">
        <f t="shared" si="0"/>
        <v>SPT2023</v>
      </c>
      <c r="D9">
        <v>0.04</v>
      </c>
      <c r="E9" s="46"/>
      <c r="F9" s="152">
        <f t="shared" si="1"/>
        <v>2022</v>
      </c>
      <c r="G9" s="152">
        <v>1.0274000000000001</v>
      </c>
      <c r="H9" s="152">
        <v>3.8E-3</v>
      </c>
      <c r="I9" s="152">
        <f>$I$8</f>
        <v>1.06E-2</v>
      </c>
      <c r="L9" s="12"/>
    </row>
    <row r="10" spans="1:12" x14ac:dyDescent="0.25">
      <c r="A10">
        <f t="shared" si="2"/>
        <v>2023</v>
      </c>
      <c r="B10" s="18" t="s">
        <v>18</v>
      </c>
      <c r="C10" s="23" t="str">
        <f t="shared" si="0"/>
        <v>SHETL2023</v>
      </c>
      <c r="D10">
        <v>3.2099999999999997E-2</v>
      </c>
      <c r="E10" s="46"/>
      <c r="F10" s="152">
        <f t="shared" si="1"/>
        <v>2023</v>
      </c>
      <c r="G10" s="152">
        <v>1.0865</v>
      </c>
      <c r="H10" s="152">
        <v>3.3999999999999998E-3</v>
      </c>
      <c r="I10" s="152">
        <f t="shared" ref="I10" si="3">$I$8</f>
        <v>1.06E-2</v>
      </c>
      <c r="L10" s="12"/>
    </row>
    <row r="11" spans="1:12" x14ac:dyDescent="0.25">
      <c r="A11">
        <f t="shared" si="2"/>
        <v>2024</v>
      </c>
      <c r="B11" s="23" t="s">
        <v>16</v>
      </c>
      <c r="C11" s="23" t="str">
        <f t="shared" si="0"/>
        <v>NG2024</v>
      </c>
      <c r="D11">
        <v>4.2799999999999998E-2</v>
      </c>
      <c r="E11" s="46"/>
      <c r="F11" s="152">
        <f t="shared" si="1"/>
        <v>2024</v>
      </c>
      <c r="G11" s="152">
        <v>1.0649</v>
      </c>
      <c r="H11" s="152">
        <v>3.8E-3</v>
      </c>
      <c r="I11" s="152">
        <v>1.06E-2</v>
      </c>
      <c r="L11" s="12"/>
    </row>
    <row r="12" spans="1:12" x14ac:dyDescent="0.25">
      <c r="A12">
        <f t="shared" si="2"/>
        <v>2024</v>
      </c>
      <c r="B12" s="18" t="s">
        <v>17</v>
      </c>
      <c r="C12" s="23" t="str">
        <f t="shared" si="0"/>
        <v>SPT2024</v>
      </c>
      <c r="D12">
        <v>4.2799999999999998E-2</v>
      </c>
      <c r="F12" s="14">
        <f t="shared" si="1"/>
        <v>2025</v>
      </c>
      <c r="G12" s="14">
        <v>1.0649</v>
      </c>
      <c r="H12" s="14">
        <v>3.8E-3</v>
      </c>
      <c r="I12" s="14">
        <v>1.06E-2</v>
      </c>
      <c r="L12" s="12"/>
    </row>
    <row r="13" spans="1:12" x14ac:dyDescent="0.25">
      <c r="A13">
        <f t="shared" si="2"/>
        <v>2024</v>
      </c>
      <c r="B13" s="18" t="s">
        <v>18</v>
      </c>
      <c r="C13" s="23" t="str">
        <f t="shared" si="0"/>
        <v>SHETL2024</v>
      </c>
      <c r="D13">
        <v>3.6200000000000003E-2</v>
      </c>
      <c r="F13" s="14">
        <f t="shared" si="1"/>
        <v>2026</v>
      </c>
      <c r="G13" s="14">
        <v>1.0649</v>
      </c>
      <c r="H13" s="14">
        <v>3.8E-3</v>
      </c>
      <c r="I13" s="14">
        <v>1.06E-2</v>
      </c>
      <c r="L13" s="12"/>
    </row>
    <row r="14" spans="1:12" x14ac:dyDescent="0.25">
      <c r="A14" s="200">
        <f t="shared" si="2"/>
        <v>2025</v>
      </c>
      <c r="B14" s="201" t="s">
        <v>16</v>
      </c>
      <c r="C14" s="201" t="str">
        <f t="shared" si="0"/>
        <v>NG2025</v>
      </c>
      <c r="D14" s="200">
        <v>4.2799999999999998E-2</v>
      </c>
      <c r="F14" s="14">
        <f t="shared" si="1"/>
        <v>2027</v>
      </c>
      <c r="G14" s="14">
        <v>1.0649</v>
      </c>
      <c r="H14" s="14">
        <v>3.8E-3</v>
      </c>
      <c r="I14" s="14">
        <v>1.06E-2</v>
      </c>
      <c r="L14" s="12"/>
    </row>
    <row r="15" spans="1:12" x14ac:dyDescent="0.25">
      <c r="A15" s="200">
        <f t="shared" si="2"/>
        <v>2025</v>
      </c>
      <c r="B15" s="201" t="s">
        <v>17</v>
      </c>
      <c r="C15" s="201" t="str">
        <f t="shared" si="0"/>
        <v>SPT2025</v>
      </c>
      <c r="D15" s="200">
        <v>4.2799999999999998E-2</v>
      </c>
      <c r="F15" s="14">
        <f t="shared" si="1"/>
        <v>2028</v>
      </c>
      <c r="G15" s="14">
        <v>1.0649</v>
      </c>
      <c r="H15" s="14">
        <v>3.8E-3</v>
      </c>
      <c r="I15" s="14">
        <v>1.06E-2</v>
      </c>
      <c r="L15" s="12"/>
    </row>
    <row r="16" spans="1:12" x14ac:dyDescent="0.25">
      <c r="A16" s="200">
        <f t="shared" si="2"/>
        <v>2025</v>
      </c>
      <c r="B16" s="201" t="s">
        <v>18</v>
      </c>
      <c r="C16" s="201" t="str">
        <f t="shared" si="0"/>
        <v>SHETL2025</v>
      </c>
      <c r="D16" s="200">
        <v>3.6200000000000003E-2</v>
      </c>
      <c r="F16" s="14">
        <f t="shared" si="1"/>
        <v>2029</v>
      </c>
      <c r="G16" s="14">
        <v>1.0649</v>
      </c>
      <c r="H16" s="14">
        <v>3.8E-3</v>
      </c>
      <c r="I16" s="14">
        <v>1.06E-2</v>
      </c>
      <c r="L16" s="12"/>
    </row>
    <row r="17" spans="1:12" x14ac:dyDescent="0.25">
      <c r="A17" s="200">
        <f t="shared" si="2"/>
        <v>2026</v>
      </c>
      <c r="B17" s="201" t="s">
        <v>16</v>
      </c>
      <c r="C17" s="201" t="str">
        <f t="shared" si="0"/>
        <v>NG2026</v>
      </c>
      <c r="D17" s="200">
        <v>4.2799999999999998E-2</v>
      </c>
      <c r="F17" s="14">
        <f t="shared" si="1"/>
        <v>2030</v>
      </c>
      <c r="G17" s="14">
        <v>1.0649</v>
      </c>
      <c r="H17" s="14">
        <v>3.8E-3</v>
      </c>
      <c r="I17" s="14">
        <v>1.06E-2</v>
      </c>
      <c r="L17" s="12"/>
    </row>
    <row r="18" spans="1:12" x14ac:dyDescent="0.25">
      <c r="A18" s="200">
        <f t="shared" si="2"/>
        <v>2026</v>
      </c>
      <c r="B18" s="201" t="s">
        <v>17</v>
      </c>
      <c r="C18" s="201" t="str">
        <f t="shared" si="0"/>
        <v>SPT2026</v>
      </c>
      <c r="D18" s="200">
        <v>4.2799999999999998E-2</v>
      </c>
      <c r="F18" s="14">
        <f t="shared" si="1"/>
        <v>2031</v>
      </c>
      <c r="G18" s="14">
        <v>1.0649</v>
      </c>
      <c r="H18" s="14">
        <v>3.8E-3</v>
      </c>
      <c r="I18" s="14">
        <v>1.06E-2</v>
      </c>
      <c r="L18" s="12"/>
    </row>
    <row r="19" spans="1:12" x14ac:dyDescent="0.25">
      <c r="A19" s="200">
        <f t="shared" si="2"/>
        <v>2026</v>
      </c>
      <c r="B19" s="201" t="s">
        <v>18</v>
      </c>
      <c r="C19" s="201" t="str">
        <f t="shared" si="0"/>
        <v>SHETL2026</v>
      </c>
      <c r="D19" s="200">
        <v>3.6200000000000003E-2</v>
      </c>
      <c r="F19" s="14">
        <f t="shared" si="1"/>
        <v>2032</v>
      </c>
      <c r="G19" s="14">
        <v>1.0649</v>
      </c>
      <c r="H19" s="14">
        <v>3.8E-3</v>
      </c>
      <c r="I19" s="14">
        <v>1.06E-2</v>
      </c>
      <c r="L19" s="12"/>
    </row>
    <row r="20" spans="1:12" x14ac:dyDescent="0.25">
      <c r="A20" s="200">
        <f t="shared" si="2"/>
        <v>2027</v>
      </c>
      <c r="B20" s="201" t="s">
        <v>16</v>
      </c>
      <c r="C20" s="201" t="str">
        <f t="shared" si="0"/>
        <v>NG2027</v>
      </c>
      <c r="D20" s="200">
        <v>4.2799999999999998E-2</v>
      </c>
      <c r="F20" s="14">
        <f t="shared" si="1"/>
        <v>2033</v>
      </c>
      <c r="G20" s="14">
        <v>1.0649</v>
      </c>
      <c r="H20" s="14">
        <v>3.8E-3</v>
      </c>
      <c r="I20" s="14">
        <v>1.06E-2</v>
      </c>
      <c r="L20" s="12"/>
    </row>
    <row r="21" spans="1:12" x14ac:dyDescent="0.25">
      <c r="A21" s="200">
        <f t="shared" si="2"/>
        <v>2027</v>
      </c>
      <c r="B21" s="201" t="s">
        <v>17</v>
      </c>
      <c r="C21" s="201" t="str">
        <f t="shared" si="0"/>
        <v>SPT2027</v>
      </c>
      <c r="D21" s="200">
        <v>4.2799999999999998E-2</v>
      </c>
      <c r="F21" s="14">
        <f t="shared" si="1"/>
        <v>2034</v>
      </c>
      <c r="G21" s="14">
        <v>1.0649</v>
      </c>
      <c r="H21" s="14">
        <v>3.8E-3</v>
      </c>
      <c r="I21" s="14">
        <v>1.06E-2</v>
      </c>
      <c r="L21" s="12"/>
    </row>
    <row r="22" spans="1:12" x14ac:dyDescent="0.25">
      <c r="A22" s="200">
        <f t="shared" si="2"/>
        <v>2027</v>
      </c>
      <c r="B22" s="201" t="s">
        <v>18</v>
      </c>
      <c r="C22" s="201" t="str">
        <f t="shared" si="0"/>
        <v>SHETL2027</v>
      </c>
      <c r="D22" s="200">
        <v>3.6200000000000003E-2</v>
      </c>
      <c r="F22" s="14">
        <f t="shared" si="1"/>
        <v>2035</v>
      </c>
      <c r="G22" s="14">
        <v>1.0649</v>
      </c>
      <c r="H22" s="14">
        <v>3.8E-3</v>
      </c>
      <c r="I22" s="14">
        <v>1.06E-2</v>
      </c>
      <c r="L22" s="12"/>
    </row>
    <row r="23" spans="1:12" x14ac:dyDescent="0.25">
      <c r="A23" s="200">
        <f t="shared" si="2"/>
        <v>2028</v>
      </c>
      <c r="B23" s="201" t="s">
        <v>16</v>
      </c>
      <c r="C23" s="201" t="str">
        <f t="shared" si="0"/>
        <v>NG2028</v>
      </c>
      <c r="D23" s="200">
        <v>4.2799999999999998E-2</v>
      </c>
      <c r="F23" s="14">
        <f t="shared" si="1"/>
        <v>2036</v>
      </c>
      <c r="G23" s="14">
        <v>1.0649</v>
      </c>
      <c r="H23" s="14">
        <v>3.8E-3</v>
      </c>
      <c r="I23" s="14">
        <v>1.06E-2</v>
      </c>
      <c r="L23" s="12"/>
    </row>
    <row r="24" spans="1:12" x14ac:dyDescent="0.25">
      <c r="A24" s="200">
        <f t="shared" si="2"/>
        <v>2028</v>
      </c>
      <c r="B24" s="201" t="s">
        <v>17</v>
      </c>
      <c r="C24" s="201" t="str">
        <f t="shared" si="0"/>
        <v>SPT2028</v>
      </c>
      <c r="D24" s="200">
        <v>4.2799999999999998E-2</v>
      </c>
      <c r="F24" s="14">
        <f t="shared" si="1"/>
        <v>2037</v>
      </c>
      <c r="G24" s="14">
        <v>1.0649</v>
      </c>
      <c r="H24" s="14">
        <v>3.8E-3</v>
      </c>
      <c r="I24" s="14">
        <v>1.06E-2</v>
      </c>
    </row>
    <row r="25" spans="1:12" x14ac:dyDescent="0.25">
      <c r="A25" s="200">
        <f t="shared" si="2"/>
        <v>2028</v>
      </c>
      <c r="B25" s="201" t="s">
        <v>18</v>
      </c>
      <c r="C25" s="201" t="str">
        <f t="shared" si="0"/>
        <v>SHETL2028</v>
      </c>
      <c r="D25" s="200">
        <v>3.6200000000000003E-2</v>
      </c>
      <c r="F25" s="14">
        <f t="shared" si="1"/>
        <v>2038</v>
      </c>
      <c r="G25" s="14">
        <v>1.0649</v>
      </c>
      <c r="H25" s="14">
        <v>3.8E-3</v>
      </c>
      <c r="I25" s="14">
        <v>1.06E-2</v>
      </c>
    </row>
    <row r="26" spans="1:12" x14ac:dyDescent="0.25">
      <c r="A26" s="200">
        <f t="shared" si="2"/>
        <v>2029</v>
      </c>
      <c r="B26" s="201" t="s">
        <v>16</v>
      </c>
      <c r="C26" s="201" t="str">
        <f t="shared" si="0"/>
        <v>NG2029</v>
      </c>
      <c r="D26" s="200">
        <v>4.2799999999999998E-2</v>
      </c>
      <c r="F26" s="14">
        <f t="shared" si="1"/>
        <v>2039</v>
      </c>
      <c r="G26" s="14">
        <v>1.0649</v>
      </c>
      <c r="H26" s="14">
        <v>3.8E-3</v>
      </c>
      <c r="I26" s="14">
        <v>1.06E-2</v>
      </c>
    </row>
    <row r="27" spans="1:12" x14ac:dyDescent="0.25">
      <c r="A27" s="200">
        <f t="shared" si="2"/>
        <v>2029</v>
      </c>
      <c r="B27" s="201" t="s">
        <v>17</v>
      </c>
      <c r="C27" s="201" t="str">
        <f t="shared" si="0"/>
        <v>SPT2029</v>
      </c>
      <c r="D27" s="200">
        <v>4.2799999999999998E-2</v>
      </c>
      <c r="F27" s="14">
        <f t="shared" si="1"/>
        <v>2040</v>
      </c>
      <c r="G27" s="14">
        <v>1.0649</v>
      </c>
      <c r="H27" s="14">
        <v>3.8E-3</v>
      </c>
      <c r="I27" s="14">
        <v>1.06E-2</v>
      </c>
    </row>
    <row r="28" spans="1:12" x14ac:dyDescent="0.25">
      <c r="A28" s="200">
        <f t="shared" si="2"/>
        <v>2029</v>
      </c>
      <c r="B28" s="201" t="s">
        <v>18</v>
      </c>
      <c r="C28" s="201" t="str">
        <f t="shared" si="0"/>
        <v>SHETL2029</v>
      </c>
      <c r="D28" s="200">
        <v>3.6200000000000003E-2</v>
      </c>
      <c r="F28" s="14">
        <f t="shared" si="1"/>
        <v>2041</v>
      </c>
      <c r="G28" s="14">
        <v>1.0649</v>
      </c>
      <c r="H28" s="14">
        <v>3.8E-3</v>
      </c>
      <c r="I28" s="14">
        <v>1.06E-2</v>
      </c>
    </row>
    <row r="29" spans="1:12" x14ac:dyDescent="0.25">
      <c r="A29" s="200">
        <f t="shared" si="2"/>
        <v>2030</v>
      </c>
      <c r="B29" s="201" t="s">
        <v>16</v>
      </c>
      <c r="C29" s="201" t="str">
        <f t="shared" si="0"/>
        <v>NG2030</v>
      </c>
      <c r="D29" s="200">
        <v>4.2799999999999998E-2</v>
      </c>
      <c r="F29" s="14">
        <f t="shared" si="1"/>
        <v>2042</v>
      </c>
      <c r="G29" s="14">
        <v>1.0649</v>
      </c>
      <c r="H29" s="14">
        <v>3.8E-3</v>
      </c>
      <c r="I29" s="14">
        <v>1.06E-2</v>
      </c>
    </row>
    <row r="30" spans="1:12" x14ac:dyDescent="0.25">
      <c r="A30" s="200">
        <f t="shared" si="2"/>
        <v>2030</v>
      </c>
      <c r="B30" s="201" t="s">
        <v>17</v>
      </c>
      <c r="C30" s="201" t="str">
        <f t="shared" si="0"/>
        <v>SPT2030</v>
      </c>
      <c r="D30" s="200">
        <v>4.2799999999999998E-2</v>
      </c>
      <c r="F30" s="14">
        <f t="shared" si="1"/>
        <v>2043</v>
      </c>
      <c r="G30" s="14">
        <v>1.0649</v>
      </c>
      <c r="H30" s="14">
        <v>3.8E-3</v>
      </c>
      <c r="I30" s="14">
        <v>1.06E-2</v>
      </c>
    </row>
    <row r="31" spans="1:12" x14ac:dyDescent="0.25">
      <c r="A31" s="200">
        <f t="shared" si="2"/>
        <v>2030</v>
      </c>
      <c r="B31" s="201" t="s">
        <v>18</v>
      </c>
      <c r="C31" s="201" t="str">
        <f t="shared" si="0"/>
        <v>SHETL2030</v>
      </c>
      <c r="D31" s="200">
        <v>3.6200000000000003E-2</v>
      </c>
      <c r="F31" s="14">
        <f t="shared" si="1"/>
        <v>2044</v>
      </c>
      <c r="G31" s="14">
        <v>1.0649</v>
      </c>
      <c r="H31" s="14">
        <v>3.8E-3</v>
      </c>
      <c r="I31" s="14">
        <v>1.06E-2</v>
      </c>
    </row>
    <row r="32" spans="1:12" x14ac:dyDescent="0.25">
      <c r="A32" s="200">
        <f t="shared" si="2"/>
        <v>2031</v>
      </c>
      <c r="B32" s="201" t="s">
        <v>16</v>
      </c>
      <c r="C32" s="201" t="str">
        <f t="shared" si="0"/>
        <v>NG2031</v>
      </c>
      <c r="D32" s="200">
        <v>4.2799999999999998E-2</v>
      </c>
      <c r="F32" s="14">
        <f t="shared" si="1"/>
        <v>2045</v>
      </c>
      <c r="G32" s="14">
        <v>1.0649</v>
      </c>
      <c r="H32" s="14">
        <v>3.8E-3</v>
      </c>
      <c r="I32" s="14">
        <v>1.06E-2</v>
      </c>
    </row>
    <row r="33" spans="1:9" x14ac:dyDescent="0.25">
      <c r="A33" s="200">
        <f t="shared" si="2"/>
        <v>2031</v>
      </c>
      <c r="B33" s="201" t="s">
        <v>17</v>
      </c>
      <c r="C33" s="201" t="str">
        <f t="shared" si="0"/>
        <v>SPT2031</v>
      </c>
      <c r="D33" s="200">
        <v>4.2799999999999998E-2</v>
      </c>
      <c r="F33" s="14">
        <f t="shared" si="1"/>
        <v>2046</v>
      </c>
      <c r="G33" s="14">
        <v>1.0649</v>
      </c>
      <c r="H33" s="14">
        <v>3.8E-3</v>
      </c>
      <c r="I33" s="14">
        <v>1.06E-2</v>
      </c>
    </row>
    <row r="34" spans="1:9" x14ac:dyDescent="0.25">
      <c r="A34" s="200">
        <f t="shared" si="2"/>
        <v>2031</v>
      </c>
      <c r="B34" s="201" t="s">
        <v>18</v>
      </c>
      <c r="C34" s="201" t="str">
        <f t="shared" si="0"/>
        <v>SHETL2031</v>
      </c>
      <c r="D34" s="200">
        <v>3.6200000000000003E-2</v>
      </c>
      <c r="F34" s="14">
        <f t="shared" si="1"/>
        <v>2047</v>
      </c>
      <c r="G34" s="14">
        <v>1.0649</v>
      </c>
      <c r="H34" s="14">
        <v>3.8E-3</v>
      </c>
      <c r="I34" s="14">
        <v>1.06E-2</v>
      </c>
    </row>
    <row r="35" spans="1:9" x14ac:dyDescent="0.25">
      <c r="A35" s="200">
        <f t="shared" si="2"/>
        <v>2032</v>
      </c>
      <c r="B35" s="201" t="s">
        <v>16</v>
      </c>
      <c r="C35" s="201" t="str">
        <f t="shared" si="0"/>
        <v>NG2032</v>
      </c>
      <c r="D35" s="200">
        <v>4.2799999999999998E-2</v>
      </c>
      <c r="F35" s="14">
        <f t="shared" si="1"/>
        <v>2048</v>
      </c>
      <c r="G35" s="14">
        <v>1.0649</v>
      </c>
      <c r="H35" s="14">
        <v>3.8E-3</v>
      </c>
      <c r="I35" s="14">
        <v>1.06E-2</v>
      </c>
    </row>
    <row r="36" spans="1:9" x14ac:dyDescent="0.25">
      <c r="A36" s="200">
        <f t="shared" si="2"/>
        <v>2032</v>
      </c>
      <c r="B36" s="201" t="s">
        <v>17</v>
      </c>
      <c r="C36" s="201" t="str">
        <f t="shared" si="0"/>
        <v>SPT2032</v>
      </c>
      <c r="D36" s="200">
        <v>4.2799999999999998E-2</v>
      </c>
      <c r="F36" s="14">
        <f t="shared" si="1"/>
        <v>2049</v>
      </c>
      <c r="G36" s="14">
        <v>1.0649</v>
      </c>
      <c r="H36" s="14">
        <v>3.8E-3</v>
      </c>
      <c r="I36" s="14">
        <v>1.06E-2</v>
      </c>
    </row>
    <row r="37" spans="1:9" x14ac:dyDescent="0.25">
      <c r="A37" s="200">
        <f t="shared" si="2"/>
        <v>2032</v>
      </c>
      <c r="B37" s="201" t="s">
        <v>18</v>
      </c>
      <c r="C37" s="201" t="str">
        <f t="shared" si="0"/>
        <v>SHETL2032</v>
      </c>
      <c r="D37" s="200">
        <v>3.6200000000000003E-2</v>
      </c>
      <c r="F37" s="14">
        <f t="shared" si="1"/>
        <v>2050</v>
      </c>
      <c r="G37" s="14">
        <v>1.0649</v>
      </c>
      <c r="H37" s="14">
        <v>3.8E-3</v>
      </c>
      <c r="I37" s="14">
        <v>1.06E-2</v>
      </c>
    </row>
    <row r="38" spans="1:9" x14ac:dyDescent="0.25">
      <c r="A38" s="200">
        <f t="shared" si="2"/>
        <v>2033</v>
      </c>
      <c r="B38" s="201" t="s">
        <v>16</v>
      </c>
      <c r="C38" s="201" t="str">
        <f t="shared" si="0"/>
        <v>NG2033</v>
      </c>
      <c r="D38" s="200">
        <v>4.2799999999999998E-2</v>
      </c>
      <c r="F38" s="14">
        <f t="shared" si="1"/>
        <v>2051</v>
      </c>
      <c r="G38" s="14">
        <v>1.0649</v>
      </c>
      <c r="H38" s="14">
        <v>3.8E-3</v>
      </c>
      <c r="I38" s="14">
        <v>1.06E-2</v>
      </c>
    </row>
    <row r="39" spans="1:9" x14ac:dyDescent="0.25">
      <c r="A39" s="200">
        <f t="shared" si="2"/>
        <v>2033</v>
      </c>
      <c r="B39" s="201" t="s">
        <v>17</v>
      </c>
      <c r="C39" s="201" t="str">
        <f t="shared" si="0"/>
        <v>SPT2033</v>
      </c>
      <c r="D39" s="200">
        <v>4.2799999999999998E-2</v>
      </c>
      <c r="F39" s="14">
        <f t="shared" si="1"/>
        <v>2052</v>
      </c>
      <c r="G39" s="14">
        <v>1.0649</v>
      </c>
      <c r="H39" s="14">
        <v>3.8E-3</v>
      </c>
      <c r="I39" s="14">
        <v>1.06E-2</v>
      </c>
    </row>
    <row r="40" spans="1:9" x14ac:dyDescent="0.25">
      <c r="A40" s="200">
        <f t="shared" si="2"/>
        <v>2033</v>
      </c>
      <c r="B40" s="201" t="s">
        <v>18</v>
      </c>
      <c r="C40" s="201" t="str">
        <f t="shared" si="0"/>
        <v>SHETL2033</v>
      </c>
      <c r="D40" s="200">
        <v>3.6200000000000003E-2</v>
      </c>
      <c r="F40" s="14">
        <f t="shared" si="1"/>
        <v>2053</v>
      </c>
      <c r="G40" s="14">
        <v>1.0649</v>
      </c>
      <c r="H40" s="14">
        <v>3.8E-3</v>
      </c>
      <c r="I40" s="14">
        <v>1.06E-2</v>
      </c>
    </row>
    <row r="41" spans="1:9" x14ac:dyDescent="0.25">
      <c r="A41" s="200">
        <f t="shared" si="2"/>
        <v>2034</v>
      </c>
      <c r="B41" s="201" t="s">
        <v>16</v>
      </c>
      <c r="C41" s="201" t="str">
        <f t="shared" si="0"/>
        <v>NG2034</v>
      </c>
      <c r="D41" s="200">
        <v>4.2799999999999998E-2</v>
      </c>
      <c r="F41" s="14">
        <f t="shared" si="1"/>
        <v>2054</v>
      </c>
      <c r="G41" s="14">
        <v>1.0649</v>
      </c>
      <c r="H41" s="14">
        <v>3.8E-3</v>
      </c>
      <c r="I41" s="14">
        <v>1.06E-2</v>
      </c>
    </row>
    <row r="42" spans="1:9" x14ac:dyDescent="0.25">
      <c r="A42" s="200">
        <f t="shared" si="2"/>
        <v>2034</v>
      </c>
      <c r="B42" s="201" t="s">
        <v>17</v>
      </c>
      <c r="C42" s="201" t="str">
        <f t="shared" si="0"/>
        <v>SPT2034</v>
      </c>
      <c r="D42" s="200">
        <v>4.2799999999999998E-2</v>
      </c>
      <c r="F42" s="14">
        <f t="shared" si="1"/>
        <v>2055</v>
      </c>
      <c r="G42" s="14">
        <v>1.0649</v>
      </c>
      <c r="H42" s="14">
        <v>3.8E-3</v>
      </c>
      <c r="I42" s="14">
        <v>1.06E-2</v>
      </c>
    </row>
    <row r="43" spans="1:9" x14ac:dyDescent="0.25">
      <c r="A43" s="200">
        <f t="shared" si="2"/>
        <v>2034</v>
      </c>
      <c r="B43" s="201" t="s">
        <v>18</v>
      </c>
      <c r="C43" s="201" t="str">
        <f t="shared" si="0"/>
        <v>SHETL2034</v>
      </c>
      <c r="D43" s="200">
        <v>3.6200000000000003E-2</v>
      </c>
      <c r="F43" s="14">
        <f t="shared" si="1"/>
        <v>2056</v>
      </c>
      <c r="G43" s="14">
        <v>1.0649</v>
      </c>
      <c r="H43" s="14">
        <v>3.8E-3</v>
      </c>
      <c r="I43" s="14">
        <v>1.06E-2</v>
      </c>
    </row>
    <row r="44" spans="1:9" x14ac:dyDescent="0.25">
      <c r="A44" s="200">
        <f t="shared" si="2"/>
        <v>2035</v>
      </c>
      <c r="B44" s="201" t="s">
        <v>16</v>
      </c>
      <c r="C44" s="201" t="str">
        <f t="shared" si="0"/>
        <v>NG2035</v>
      </c>
      <c r="D44" s="200">
        <v>4.2799999999999998E-2</v>
      </c>
      <c r="F44" s="14">
        <f t="shared" si="1"/>
        <v>2057</v>
      </c>
      <c r="G44" s="14">
        <v>1.0649</v>
      </c>
      <c r="H44" s="14">
        <v>3.8E-3</v>
      </c>
      <c r="I44" s="14">
        <v>1.06E-2</v>
      </c>
    </row>
    <row r="45" spans="1:9" x14ac:dyDescent="0.25">
      <c r="A45" s="200">
        <f t="shared" si="2"/>
        <v>2035</v>
      </c>
      <c r="B45" s="201" t="s">
        <v>17</v>
      </c>
      <c r="C45" s="201" t="str">
        <f t="shared" si="0"/>
        <v>SPT2035</v>
      </c>
      <c r="D45" s="200">
        <v>4.2799999999999998E-2</v>
      </c>
      <c r="F45" s="14">
        <f t="shared" si="1"/>
        <v>2058</v>
      </c>
      <c r="G45" s="14">
        <v>1.0649</v>
      </c>
      <c r="H45" s="14">
        <v>3.8E-3</v>
      </c>
      <c r="I45" s="14">
        <v>1.06E-2</v>
      </c>
    </row>
    <row r="46" spans="1:9" x14ac:dyDescent="0.25">
      <c r="A46" s="200">
        <f t="shared" si="2"/>
        <v>2035</v>
      </c>
      <c r="B46" s="201" t="s">
        <v>18</v>
      </c>
      <c r="C46" s="201" t="str">
        <f t="shared" si="0"/>
        <v>SHETL2035</v>
      </c>
      <c r="D46" s="200">
        <v>3.6200000000000003E-2</v>
      </c>
      <c r="F46" s="14">
        <f t="shared" si="1"/>
        <v>2059</v>
      </c>
      <c r="G46" s="14">
        <v>1.0649</v>
      </c>
      <c r="H46" s="14">
        <v>3.8E-3</v>
      </c>
      <c r="I46" s="14">
        <v>1.06E-2</v>
      </c>
    </row>
    <row r="47" spans="1:9" x14ac:dyDescent="0.25">
      <c r="A47" s="200">
        <f t="shared" si="2"/>
        <v>2036</v>
      </c>
      <c r="B47" s="201" t="s">
        <v>16</v>
      </c>
      <c r="C47" s="201" t="str">
        <f t="shared" si="0"/>
        <v>NG2036</v>
      </c>
      <c r="D47" s="200">
        <v>4.2799999999999998E-2</v>
      </c>
      <c r="F47" s="14">
        <f t="shared" si="1"/>
        <v>2060</v>
      </c>
      <c r="G47" s="14">
        <v>1.0649</v>
      </c>
      <c r="H47" s="14">
        <v>3.8E-3</v>
      </c>
      <c r="I47" s="14">
        <v>1.06E-2</v>
      </c>
    </row>
    <row r="48" spans="1:9" x14ac:dyDescent="0.25">
      <c r="A48" s="200">
        <f t="shared" si="2"/>
        <v>2036</v>
      </c>
      <c r="B48" s="201" t="s">
        <v>17</v>
      </c>
      <c r="C48" s="201" t="str">
        <f t="shared" si="0"/>
        <v>SPT2036</v>
      </c>
      <c r="D48" s="200">
        <v>4.2799999999999998E-2</v>
      </c>
      <c r="F48" s="14">
        <f t="shared" si="1"/>
        <v>2061</v>
      </c>
      <c r="G48" s="14">
        <v>1.0649</v>
      </c>
      <c r="H48" s="14">
        <v>3.8E-3</v>
      </c>
      <c r="I48" s="14">
        <v>1.06E-2</v>
      </c>
    </row>
    <row r="49" spans="1:9" x14ac:dyDescent="0.25">
      <c r="A49" s="200">
        <f t="shared" si="2"/>
        <v>2036</v>
      </c>
      <c r="B49" s="201" t="s">
        <v>18</v>
      </c>
      <c r="C49" s="201" t="str">
        <f t="shared" si="0"/>
        <v>SHETL2036</v>
      </c>
      <c r="D49" s="200">
        <v>3.6200000000000003E-2</v>
      </c>
      <c r="F49" s="14">
        <f t="shared" si="1"/>
        <v>2062</v>
      </c>
      <c r="G49" s="14">
        <v>1.0649</v>
      </c>
      <c r="H49" s="14">
        <v>3.8E-3</v>
      </c>
      <c r="I49" s="14">
        <v>1.06E-2</v>
      </c>
    </row>
    <row r="50" spans="1:9" x14ac:dyDescent="0.25">
      <c r="A50" s="200">
        <f t="shared" si="2"/>
        <v>2037</v>
      </c>
      <c r="B50" s="201" t="s">
        <v>16</v>
      </c>
      <c r="C50" s="201" t="str">
        <f t="shared" si="0"/>
        <v>NG2037</v>
      </c>
      <c r="D50" s="200">
        <v>4.2799999999999998E-2</v>
      </c>
      <c r="F50" s="14">
        <f t="shared" si="1"/>
        <v>2063</v>
      </c>
      <c r="G50" s="14">
        <v>1.0649</v>
      </c>
      <c r="H50" s="14">
        <v>3.8E-3</v>
      </c>
      <c r="I50" s="14">
        <v>1.06E-2</v>
      </c>
    </row>
    <row r="51" spans="1:9" x14ac:dyDescent="0.25">
      <c r="A51" s="200">
        <f t="shared" si="2"/>
        <v>2037</v>
      </c>
      <c r="B51" s="201" t="s">
        <v>17</v>
      </c>
      <c r="C51" s="201" t="str">
        <f t="shared" si="0"/>
        <v>SPT2037</v>
      </c>
      <c r="D51" s="200">
        <v>4.2799999999999998E-2</v>
      </c>
      <c r="F51" s="14">
        <f t="shared" si="1"/>
        <v>2064</v>
      </c>
      <c r="G51" s="14">
        <v>1.0649</v>
      </c>
      <c r="H51" s="14">
        <v>3.8E-3</v>
      </c>
      <c r="I51" s="14">
        <v>1.06E-2</v>
      </c>
    </row>
    <row r="52" spans="1:9" x14ac:dyDescent="0.25">
      <c r="A52" s="200">
        <f t="shared" si="2"/>
        <v>2037</v>
      </c>
      <c r="B52" s="201" t="s">
        <v>18</v>
      </c>
      <c r="C52" s="201" t="str">
        <f t="shared" si="0"/>
        <v>SHETL2037</v>
      </c>
      <c r="D52" s="200">
        <v>3.6200000000000003E-2</v>
      </c>
      <c r="F52" s="14">
        <f t="shared" si="1"/>
        <v>2065</v>
      </c>
      <c r="G52" s="14">
        <v>1.0649</v>
      </c>
      <c r="H52" s="14">
        <v>3.8E-3</v>
      </c>
      <c r="I52" s="14">
        <v>1.06E-2</v>
      </c>
    </row>
    <row r="53" spans="1:9" x14ac:dyDescent="0.25">
      <c r="A53" s="200">
        <f t="shared" si="2"/>
        <v>2038</v>
      </c>
      <c r="B53" s="201" t="s">
        <v>16</v>
      </c>
      <c r="C53" s="201" t="str">
        <f t="shared" si="0"/>
        <v>NG2038</v>
      </c>
      <c r="D53" s="200">
        <v>4.2799999999999998E-2</v>
      </c>
      <c r="F53" s="14">
        <f t="shared" si="1"/>
        <v>2066</v>
      </c>
      <c r="G53" s="14">
        <v>1.0649</v>
      </c>
      <c r="H53" s="14">
        <v>3.8E-3</v>
      </c>
      <c r="I53" s="14">
        <v>1.06E-2</v>
      </c>
    </row>
    <row r="54" spans="1:9" x14ac:dyDescent="0.25">
      <c r="A54" s="200">
        <f t="shared" si="2"/>
        <v>2038</v>
      </c>
      <c r="B54" s="201" t="s">
        <v>17</v>
      </c>
      <c r="C54" s="201" t="str">
        <f t="shared" si="0"/>
        <v>SPT2038</v>
      </c>
      <c r="D54" s="200">
        <v>4.2799999999999998E-2</v>
      </c>
      <c r="F54" s="14">
        <f t="shared" si="1"/>
        <v>2067</v>
      </c>
      <c r="G54" s="14">
        <v>1.0649</v>
      </c>
      <c r="H54" s="14">
        <v>3.8E-3</v>
      </c>
      <c r="I54" s="14">
        <v>1.06E-2</v>
      </c>
    </row>
    <row r="55" spans="1:9" x14ac:dyDescent="0.25">
      <c r="A55" s="200">
        <f t="shared" si="2"/>
        <v>2038</v>
      </c>
      <c r="B55" s="201" t="s">
        <v>18</v>
      </c>
      <c r="C55" s="201" t="str">
        <f t="shared" si="0"/>
        <v>SHETL2038</v>
      </c>
      <c r="D55" s="200">
        <v>3.6200000000000003E-2</v>
      </c>
      <c r="F55" s="14">
        <f t="shared" si="1"/>
        <v>2068</v>
      </c>
      <c r="G55" s="14">
        <v>1.0649</v>
      </c>
      <c r="H55" s="14">
        <v>3.8E-3</v>
      </c>
      <c r="I55" s="14">
        <v>1.06E-2</v>
      </c>
    </row>
    <row r="56" spans="1:9" x14ac:dyDescent="0.25">
      <c r="A56" s="200">
        <f t="shared" si="2"/>
        <v>2039</v>
      </c>
      <c r="B56" s="201" t="s">
        <v>16</v>
      </c>
      <c r="C56" s="201" t="str">
        <f t="shared" si="0"/>
        <v>NG2039</v>
      </c>
      <c r="D56" s="200">
        <v>4.2799999999999998E-2</v>
      </c>
      <c r="F56" s="14">
        <f t="shared" si="1"/>
        <v>2069</v>
      </c>
      <c r="G56" s="14">
        <v>1.0649</v>
      </c>
      <c r="H56" s="14">
        <v>3.8E-3</v>
      </c>
      <c r="I56" s="14">
        <v>1.06E-2</v>
      </c>
    </row>
    <row r="57" spans="1:9" x14ac:dyDescent="0.25">
      <c r="A57" s="200">
        <f t="shared" si="2"/>
        <v>2039</v>
      </c>
      <c r="B57" s="201" t="s">
        <v>17</v>
      </c>
      <c r="C57" s="201" t="str">
        <f t="shared" si="0"/>
        <v>SPT2039</v>
      </c>
      <c r="D57" s="200">
        <v>4.2799999999999998E-2</v>
      </c>
      <c r="F57" s="14">
        <f t="shared" si="1"/>
        <v>2070</v>
      </c>
      <c r="G57" s="14">
        <v>1.0649</v>
      </c>
      <c r="H57" s="14">
        <v>3.8E-3</v>
      </c>
      <c r="I57" s="14">
        <v>1.06E-2</v>
      </c>
    </row>
    <row r="58" spans="1:9" x14ac:dyDescent="0.25">
      <c r="A58" s="200">
        <f t="shared" si="2"/>
        <v>2039</v>
      </c>
      <c r="B58" s="201" t="s">
        <v>18</v>
      </c>
      <c r="C58" s="201" t="str">
        <f t="shared" si="0"/>
        <v>SHETL2039</v>
      </c>
      <c r="D58" s="200">
        <v>3.6200000000000003E-2</v>
      </c>
      <c r="F58" s="14">
        <f t="shared" si="1"/>
        <v>2071</v>
      </c>
      <c r="G58" s="14">
        <v>1.0649</v>
      </c>
      <c r="H58" s="14">
        <v>3.8E-3</v>
      </c>
      <c r="I58" s="14">
        <v>1.06E-2</v>
      </c>
    </row>
    <row r="59" spans="1:9" x14ac:dyDescent="0.25">
      <c r="A59" s="200">
        <f t="shared" si="2"/>
        <v>2040</v>
      </c>
      <c r="B59" s="201" t="s">
        <v>16</v>
      </c>
      <c r="C59" s="201" t="str">
        <f t="shared" si="0"/>
        <v>NG2040</v>
      </c>
      <c r="D59" s="200">
        <v>4.2799999999999998E-2</v>
      </c>
      <c r="F59" s="14">
        <f t="shared" si="1"/>
        <v>2072</v>
      </c>
      <c r="G59" s="14">
        <v>1.0649</v>
      </c>
      <c r="H59" s="14">
        <v>3.8E-3</v>
      </c>
      <c r="I59" s="14">
        <v>1.06E-2</v>
      </c>
    </row>
    <row r="60" spans="1:9" x14ac:dyDescent="0.25">
      <c r="A60" s="200">
        <f t="shared" si="2"/>
        <v>2040</v>
      </c>
      <c r="B60" s="201" t="s">
        <v>17</v>
      </c>
      <c r="C60" s="201" t="str">
        <f t="shared" si="0"/>
        <v>SPT2040</v>
      </c>
      <c r="D60" s="200">
        <v>4.2799999999999998E-2</v>
      </c>
      <c r="F60" s="14">
        <f t="shared" si="1"/>
        <v>2073</v>
      </c>
      <c r="G60" s="14">
        <v>1.0649</v>
      </c>
      <c r="H60" s="14">
        <v>3.8E-3</v>
      </c>
      <c r="I60" s="14">
        <v>1.06E-2</v>
      </c>
    </row>
    <row r="61" spans="1:9" x14ac:dyDescent="0.25">
      <c r="A61" s="200">
        <f t="shared" si="2"/>
        <v>2040</v>
      </c>
      <c r="B61" s="201" t="s">
        <v>18</v>
      </c>
      <c r="C61" s="201" t="str">
        <f t="shared" si="0"/>
        <v>SHETL2040</v>
      </c>
      <c r="D61" s="200">
        <v>3.6200000000000003E-2</v>
      </c>
      <c r="F61" s="14">
        <f t="shared" si="1"/>
        <v>2074</v>
      </c>
      <c r="G61" s="14">
        <v>1.0649</v>
      </c>
      <c r="H61" s="14">
        <v>3.8E-3</v>
      </c>
      <c r="I61" s="14">
        <v>1.06E-2</v>
      </c>
    </row>
    <row r="62" spans="1:9" x14ac:dyDescent="0.25">
      <c r="A62" s="200">
        <f t="shared" si="2"/>
        <v>2041</v>
      </c>
      <c r="B62" s="201" t="s">
        <v>16</v>
      </c>
      <c r="C62" s="201" t="str">
        <f t="shared" si="0"/>
        <v>NG2041</v>
      </c>
      <c r="D62" s="200">
        <v>4.2799999999999998E-2</v>
      </c>
      <c r="F62" s="14">
        <f t="shared" si="1"/>
        <v>2075</v>
      </c>
      <c r="G62" s="14">
        <v>1.0649</v>
      </c>
      <c r="H62" s="14">
        <v>3.8E-3</v>
      </c>
      <c r="I62" s="14">
        <v>1.06E-2</v>
      </c>
    </row>
    <row r="63" spans="1:9" x14ac:dyDescent="0.25">
      <c r="A63" s="200">
        <f t="shared" si="2"/>
        <v>2041</v>
      </c>
      <c r="B63" s="201" t="s">
        <v>17</v>
      </c>
      <c r="C63" s="201" t="str">
        <f t="shared" si="0"/>
        <v>SPT2041</v>
      </c>
      <c r="D63" s="200">
        <v>4.2799999999999998E-2</v>
      </c>
      <c r="F63" s="14">
        <f t="shared" si="1"/>
        <v>2076</v>
      </c>
      <c r="G63" s="14">
        <v>1.0649</v>
      </c>
      <c r="H63" s="14">
        <v>3.8E-3</v>
      </c>
      <c r="I63" s="14">
        <v>1.06E-2</v>
      </c>
    </row>
    <row r="64" spans="1:9" x14ac:dyDescent="0.25">
      <c r="A64" s="200">
        <f t="shared" si="2"/>
        <v>2041</v>
      </c>
      <c r="B64" s="201" t="s">
        <v>18</v>
      </c>
      <c r="C64" s="201" t="str">
        <f t="shared" si="0"/>
        <v>SHETL2041</v>
      </c>
      <c r="D64" s="200">
        <v>3.6200000000000003E-2</v>
      </c>
      <c r="F64" s="14">
        <f t="shared" si="1"/>
        <v>2077</v>
      </c>
      <c r="G64" s="14">
        <v>1.0649</v>
      </c>
      <c r="H64" s="14">
        <v>3.8E-3</v>
      </c>
      <c r="I64" s="14">
        <v>1.06E-2</v>
      </c>
    </row>
    <row r="65" spans="1:9" x14ac:dyDescent="0.25">
      <c r="A65" s="200">
        <f t="shared" si="2"/>
        <v>2042</v>
      </c>
      <c r="B65" s="201" t="s">
        <v>16</v>
      </c>
      <c r="C65" s="201" t="str">
        <f t="shared" si="0"/>
        <v>NG2042</v>
      </c>
      <c r="D65" s="200">
        <v>4.2799999999999998E-2</v>
      </c>
      <c r="F65" s="14">
        <f t="shared" si="1"/>
        <v>2078</v>
      </c>
      <c r="G65" s="14">
        <v>1.0649</v>
      </c>
      <c r="H65" s="14">
        <v>3.8E-3</v>
      </c>
      <c r="I65" s="14">
        <v>1.06E-2</v>
      </c>
    </row>
    <row r="66" spans="1:9" x14ac:dyDescent="0.25">
      <c r="A66" s="200">
        <f t="shared" si="2"/>
        <v>2042</v>
      </c>
      <c r="B66" s="201" t="s">
        <v>17</v>
      </c>
      <c r="C66" s="201" t="str">
        <f t="shared" si="0"/>
        <v>SPT2042</v>
      </c>
      <c r="D66" s="200">
        <v>4.2799999999999998E-2</v>
      </c>
      <c r="F66" s="14">
        <f t="shared" si="1"/>
        <v>2079</v>
      </c>
      <c r="G66" s="14">
        <v>1.0649</v>
      </c>
      <c r="H66" s="14">
        <v>3.8E-3</v>
      </c>
      <c r="I66" s="14">
        <v>1.06E-2</v>
      </c>
    </row>
    <row r="67" spans="1:9" x14ac:dyDescent="0.25">
      <c r="A67" s="200">
        <f t="shared" si="2"/>
        <v>2042</v>
      </c>
      <c r="B67" s="201" t="s">
        <v>18</v>
      </c>
      <c r="C67" s="201" t="str">
        <f t="shared" ref="C67:C130" si="4">B67&amp;A67</f>
        <v>SHETL2042</v>
      </c>
      <c r="D67" s="200">
        <v>3.6200000000000003E-2</v>
      </c>
      <c r="F67" s="14">
        <f t="shared" si="1"/>
        <v>2080</v>
      </c>
      <c r="G67" s="14">
        <v>1.0649</v>
      </c>
      <c r="H67" s="14">
        <v>3.8E-3</v>
      </c>
      <c r="I67" s="14">
        <v>1.06E-2</v>
      </c>
    </row>
    <row r="68" spans="1:9" x14ac:dyDescent="0.25">
      <c r="A68" s="200">
        <f t="shared" si="2"/>
        <v>2043</v>
      </c>
      <c r="B68" s="201" t="s">
        <v>16</v>
      </c>
      <c r="C68" s="201" t="str">
        <f t="shared" si="4"/>
        <v>NG2043</v>
      </c>
      <c r="D68" s="200">
        <v>4.2799999999999998E-2</v>
      </c>
      <c r="F68" s="14">
        <f t="shared" ref="F68:F131" si="5">F67+1</f>
        <v>2081</v>
      </c>
      <c r="G68" s="14">
        <v>1.0649</v>
      </c>
      <c r="H68" s="14">
        <v>3.8E-3</v>
      </c>
      <c r="I68" s="14">
        <v>1.06E-2</v>
      </c>
    </row>
    <row r="69" spans="1:9" x14ac:dyDescent="0.25">
      <c r="A69" s="200">
        <f t="shared" si="2"/>
        <v>2043</v>
      </c>
      <c r="B69" s="201" t="s">
        <v>17</v>
      </c>
      <c r="C69" s="201" t="str">
        <f t="shared" si="4"/>
        <v>SPT2043</v>
      </c>
      <c r="D69" s="200">
        <v>4.2799999999999998E-2</v>
      </c>
      <c r="F69" s="14">
        <f t="shared" si="5"/>
        <v>2082</v>
      </c>
      <c r="G69" s="14">
        <v>1.0649</v>
      </c>
      <c r="H69" s="14">
        <v>3.8E-3</v>
      </c>
      <c r="I69" s="14">
        <v>1.06E-2</v>
      </c>
    </row>
    <row r="70" spans="1:9" x14ac:dyDescent="0.25">
      <c r="A70" s="200">
        <f t="shared" ref="A70:A133" si="6">A67+1</f>
        <v>2043</v>
      </c>
      <c r="B70" s="201" t="s">
        <v>18</v>
      </c>
      <c r="C70" s="201" t="str">
        <f t="shared" si="4"/>
        <v>SHETL2043</v>
      </c>
      <c r="D70" s="200">
        <v>3.6200000000000003E-2</v>
      </c>
      <c r="F70" s="14">
        <f t="shared" si="5"/>
        <v>2083</v>
      </c>
      <c r="G70" s="14">
        <v>1.0649</v>
      </c>
      <c r="H70" s="14">
        <v>3.8E-3</v>
      </c>
      <c r="I70" s="14">
        <v>1.06E-2</v>
      </c>
    </row>
    <row r="71" spans="1:9" x14ac:dyDescent="0.25">
      <c r="A71" s="200">
        <f t="shared" si="6"/>
        <v>2044</v>
      </c>
      <c r="B71" s="201" t="s">
        <v>16</v>
      </c>
      <c r="C71" s="201" t="str">
        <f t="shared" si="4"/>
        <v>NG2044</v>
      </c>
      <c r="D71" s="200">
        <v>4.2799999999999998E-2</v>
      </c>
      <c r="F71" s="14">
        <f t="shared" si="5"/>
        <v>2084</v>
      </c>
      <c r="G71" s="14">
        <v>1.0649</v>
      </c>
      <c r="H71" s="14">
        <v>3.8E-3</v>
      </c>
      <c r="I71" s="14">
        <v>1.06E-2</v>
      </c>
    </row>
    <row r="72" spans="1:9" x14ac:dyDescent="0.25">
      <c r="A72" s="200">
        <f t="shared" si="6"/>
        <v>2044</v>
      </c>
      <c r="B72" s="201" t="s">
        <v>17</v>
      </c>
      <c r="C72" s="201" t="str">
        <f t="shared" si="4"/>
        <v>SPT2044</v>
      </c>
      <c r="D72" s="200">
        <v>4.2799999999999998E-2</v>
      </c>
      <c r="F72" s="14">
        <f t="shared" si="5"/>
        <v>2085</v>
      </c>
      <c r="G72" s="14">
        <v>1.0649</v>
      </c>
      <c r="H72" s="14">
        <v>3.8E-3</v>
      </c>
      <c r="I72" s="14">
        <v>1.06E-2</v>
      </c>
    </row>
    <row r="73" spans="1:9" x14ac:dyDescent="0.25">
      <c r="A73" s="200">
        <f t="shared" si="6"/>
        <v>2044</v>
      </c>
      <c r="B73" s="201" t="s">
        <v>18</v>
      </c>
      <c r="C73" s="201" t="str">
        <f t="shared" si="4"/>
        <v>SHETL2044</v>
      </c>
      <c r="D73" s="200">
        <v>3.6200000000000003E-2</v>
      </c>
      <c r="F73" s="14">
        <f t="shared" si="5"/>
        <v>2086</v>
      </c>
      <c r="G73" s="14">
        <v>1.0649</v>
      </c>
      <c r="H73" s="14">
        <v>3.8E-3</v>
      </c>
      <c r="I73" s="14">
        <v>1.06E-2</v>
      </c>
    </row>
    <row r="74" spans="1:9" x14ac:dyDescent="0.25">
      <c r="A74" s="200">
        <f t="shared" si="6"/>
        <v>2045</v>
      </c>
      <c r="B74" s="201" t="s">
        <v>16</v>
      </c>
      <c r="C74" s="201" t="str">
        <f t="shared" si="4"/>
        <v>NG2045</v>
      </c>
      <c r="D74" s="200">
        <v>4.2799999999999998E-2</v>
      </c>
      <c r="F74" s="14">
        <f t="shared" si="5"/>
        <v>2087</v>
      </c>
      <c r="G74" s="14">
        <v>1.0649</v>
      </c>
      <c r="H74" s="14">
        <v>3.8E-3</v>
      </c>
      <c r="I74" s="14">
        <v>1.06E-2</v>
      </c>
    </row>
    <row r="75" spans="1:9" x14ac:dyDescent="0.25">
      <c r="A75" s="200">
        <f t="shared" si="6"/>
        <v>2045</v>
      </c>
      <c r="B75" s="201" t="s">
        <v>17</v>
      </c>
      <c r="C75" s="201" t="str">
        <f t="shared" si="4"/>
        <v>SPT2045</v>
      </c>
      <c r="D75" s="200">
        <v>4.2799999999999998E-2</v>
      </c>
      <c r="F75" s="14">
        <f t="shared" si="5"/>
        <v>2088</v>
      </c>
      <c r="G75" s="14">
        <v>1.0649</v>
      </c>
      <c r="H75" s="14">
        <v>3.8E-3</v>
      </c>
      <c r="I75" s="14">
        <v>1.06E-2</v>
      </c>
    </row>
    <row r="76" spans="1:9" x14ac:dyDescent="0.25">
      <c r="A76" s="200">
        <f t="shared" si="6"/>
        <v>2045</v>
      </c>
      <c r="B76" s="201" t="s">
        <v>18</v>
      </c>
      <c r="C76" s="201" t="str">
        <f t="shared" si="4"/>
        <v>SHETL2045</v>
      </c>
      <c r="D76" s="200">
        <v>3.6200000000000003E-2</v>
      </c>
      <c r="F76" s="14">
        <f t="shared" si="5"/>
        <v>2089</v>
      </c>
      <c r="G76" s="14">
        <v>1.0649</v>
      </c>
      <c r="H76" s="14">
        <v>3.8E-3</v>
      </c>
      <c r="I76" s="14">
        <v>1.06E-2</v>
      </c>
    </row>
    <row r="77" spans="1:9" x14ac:dyDescent="0.25">
      <c r="A77" s="200">
        <f t="shared" si="6"/>
        <v>2046</v>
      </c>
      <c r="B77" s="201" t="s">
        <v>16</v>
      </c>
      <c r="C77" s="201" t="str">
        <f t="shared" si="4"/>
        <v>NG2046</v>
      </c>
      <c r="D77" s="200">
        <v>4.2799999999999998E-2</v>
      </c>
      <c r="F77" s="14">
        <f t="shared" si="5"/>
        <v>2090</v>
      </c>
      <c r="G77" s="14">
        <v>1.0649</v>
      </c>
      <c r="H77" s="14">
        <v>3.8E-3</v>
      </c>
      <c r="I77" s="14">
        <v>1.06E-2</v>
      </c>
    </row>
    <row r="78" spans="1:9" x14ac:dyDescent="0.25">
      <c r="A78" s="200">
        <f t="shared" si="6"/>
        <v>2046</v>
      </c>
      <c r="B78" s="201" t="s">
        <v>17</v>
      </c>
      <c r="C78" s="201" t="str">
        <f t="shared" si="4"/>
        <v>SPT2046</v>
      </c>
      <c r="D78" s="200">
        <v>4.2799999999999998E-2</v>
      </c>
      <c r="F78" s="14">
        <f t="shared" si="5"/>
        <v>2091</v>
      </c>
      <c r="G78" s="14">
        <v>1.0649</v>
      </c>
      <c r="H78" s="14">
        <v>3.8E-3</v>
      </c>
      <c r="I78" s="14">
        <v>1.06E-2</v>
      </c>
    </row>
    <row r="79" spans="1:9" x14ac:dyDescent="0.25">
      <c r="A79" s="200">
        <f t="shared" si="6"/>
        <v>2046</v>
      </c>
      <c r="B79" s="201" t="s">
        <v>18</v>
      </c>
      <c r="C79" s="201" t="str">
        <f t="shared" si="4"/>
        <v>SHETL2046</v>
      </c>
      <c r="D79" s="200">
        <v>3.6200000000000003E-2</v>
      </c>
      <c r="F79" s="14">
        <f t="shared" si="5"/>
        <v>2092</v>
      </c>
      <c r="G79" s="14">
        <v>1.0649</v>
      </c>
      <c r="H79" s="14">
        <v>3.8E-3</v>
      </c>
      <c r="I79" s="14">
        <v>1.06E-2</v>
      </c>
    </row>
    <row r="80" spans="1:9" x14ac:dyDescent="0.25">
      <c r="A80" s="200">
        <f t="shared" si="6"/>
        <v>2047</v>
      </c>
      <c r="B80" s="201" t="s">
        <v>16</v>
      </c>
      <c r="C80" s="201" t="str">
        <f t="shared" si="4"/>
        <v>NG2047</v>
      </c>
      <c r="D80" s="200">
        <v>4.2799999999999998E-2</v>
      </c>
      <c r="F80" s="14">
        <f t="shared" si="5"/>
        <v>2093</v>
      </c>
      <c r="G80" s="14">
        <v>1.0649</v>
      </c>
      <c r="H80" s="14">
        <v>3.8E-3</v>
      </c>
      <c r="I80" s="14">
        <v>1.06E-2</v>
      </c>
    </row>
    <row r="81" spans="1:9" x14ac:dyDescent="0.25">
      <c r="A81" s="200">
        <f t="shared" si="6"/>
        <v>2047</v>
      </c>
      <c r="B81" s="201" t="s">
        <v>17</v>
      </c>
      <c r="C81" s="201" t="str">
        <f t="shared" si="4"/>
        <v>SPT2047</v>
      </c>
      <c r="D81" s="200">
        <v>4.2799999999999998E-2</v>
      </c>
      <c r="F81" s="14">
        <f t="shared" si="5"/>
        <v>2094</v>
      </c>
      <c r="G81" s="14">
        <v>1.0649</v>
      </c>
      <c r="H81" s="14">
        <v>3.8E-3</v>
      </c>
      <c r="I81" s="14">
        <v>1.06E-2</v>
      </c>
    </row>
    <row r="82" spans="1:9" x14ac:dyDescent="0.25">
      <c r="A82" s="200">
        <f t="shared" si="6"/>
        <v>2047</v>
      </c>
      <c r="B82" s="201" t="s">
        <v>18</v>
      </c>
      <c r="C82" s="201" t="str">
        <f t="shared" si="4"/>
        <v>SHETL2047</v>
      </c>
      <c r="D82" s="200">
        <v>3.6200000000000003E-2</v>
      </c>
      <c r="F82" s="14">
        <f t="shared" si="5"/>
        <v>2095</v>
      </c>
      <c r="G82" s="14">
        <v>1.0649</v>
      </c>
      <c r="H82" s="14">
        <v>3.8E-3</v>
      </c>
      <c r="I82" s="14">
        <v>1.06E-2</v>
      </c>
    </row>
    <row r="83" spans="1:9" x14ac:dyDescent="0.25">
      <c r="A83" s="200">
        <f t="shared" si="6"/>
        <v>2048</v>
      </c>
      <c r="B83" s="201" t="s">
        <v>16</v>
      </c>
      <c r="C83" s="201" t="str">
        <f t="shared" si="4"/>
        <v>NG2048</v>
      </c>
      <c r="D83" s="200">
        <v>4.2799999999999998E-2</v>
      </c>
      <c r="F83" s="14">
        <f t="shared" si="5"/>
        <v>2096</v>
      </c>
      <c r="G83" s="14">
        <v>1.0649</v>
      </c>
      <c r="H83" s="14">
        <v>3.8E-3</v>
      </c>
      <c r="I83" s="14">
        <v>1.06E-2</v>
      </c>
    </row>
    <row r="84" spans="1:9" x14ac:dyDescent="0.25">
      <c r="A84" s="200">
        <f t="shared" si="6"/>
        <v>2048</v>
      </c>
      <c r="B84" s="201" t="s">
        <v>17</v>
      </c>
      <c r="C84" s="201" t="str">
        <f t="shared" si="4"/>
        <v>SPT2048</v>
      </c>
      <c r="D84" s="200">
        <v>4.2799999999999998E-2</v>
      </c>
      <c r="F84" s="14">
        <f t="shared" si="5"/>
        <v>2097</v>
      </c>
      <c r="G84" s="14">
        <v>1.0649</v>
      </c>
      <c r="H84" s="14">
        <v>3.8E-3</v>
      </c>
      <c r="I84" s="14">
        <v>1.06E-2</v>
      </c>
    </row>
    <row r="85" spans="1:9" x14ac:dyDescent="0.25">
      <c r="A85" s="200">
        <f t="shared" si="6"/>
        <v>2048</v>
      </c>
      <c r="B85" s="201" t="s">
        <v>18</v>
      </c>
      <c r="C85" s="201" t="str">
        <f t="shared" si="4"/>
        <v>SHETL2048</v>
      </c>
      <c r="D85" s="200">
        <v>3.6200000000000003E-2</v>
      </c>
      <c r="F85" s="14">
        <f t="shared" si="5"/>
        <v>2098</v>
      </c>
      <c r="G85" s="14">
        <v>1.0649</v>
      </c>
      <c r="H85" s="14">
        <v>3.8E-3</v>
      </c>
      <c r="I85" s="14">
        <v>1.06E-2</v>
      </c>
    </row>
    <row r="86" spans="1:9" x14ac:dyDescent="0.25">
      <c r="A86" s="200">
        <f t="shared" si="6"/>
        <v>2049</v>
      </c>
      <c r="B86" s="201" t="s">
        <v>16</v>
      </c>
      <c r="C86" s="201" t="str">
        <f t="shared" si="4"/>
        <v>NG2049</v>
      </c>
      <c r="D86" s="200">
        <v>4.2799999999999998E-2</v>
      </c>
      <c r="F86" s="14">
        <f t="shared" si="5"/>
        <v>2099</v>
      </c>
      <c r="G86" s="14">
        <v>1.0649</v>
      </c>
      <c r="H86" s="14">
        <v>3.8E-3</v>
      </c>
      <c r="I86" s="14">
        <v>1.06E-2</v>
      </c>
    </row>
    <row r="87" spans="1:9" x14ac:dyDescent="0.25">
      <c r="A87" s="200">
        <f t="shared" si="6"/>
        <v>2049</v>
      </c>
      <c r="B87" s="201" t="s">
        <v>17</v>
      </c>
      <c r="C87" s="201" t="str">
        <f t="shared" si="4"/>
        <v>SPT2049</v>
      </c>
      <c r="D87" s="200">
        <v>4.2799999999999998E-2</v>
      </c>
      <c r="F87" s="14">
        <f t="shared" si="5"/>
        <v>2100</v>
      </c>
      <c r="G87" s="14">
        <v>1.0649</v>
      </c>
      <c r="H87" s="14">
        <v>3.8E-3</v>
      </c>
      <c r="I87" s="14">
        <v>1.06E-2</v>
      </c>
    </row>
    <row r="88" spans="1:9" x14ac:dyDescent="0.25">
      <c r="A88" s="200">
        <f t="shared" si="6"/>
        <v>2049</v>
      </c>
      <c r="B88" s="201" t="s">
        <v>18</v>
      </c>
      <c r="C88" s="201" t="str">
        <f t="shared" si="4"/>
        <v>SHETL2049</v>
      </c>
      <c r="D88" s="200">
        <v>3.6200000000000003E-2</v>
      </c>
      <c r="F88" s="14">
        <f t="shared" si="5"/>
        <v>2101</v>
      </c>
      <c r="G88" s="14">
        <v>1.0649</v>
      </c>
      <c r="H88" s="14">
        <v>3.8E-3</v>
      </c>
      <c r="I88" s="14">
        <v>1.06E-2</v>
      </c>
    </row>
    <row r="89" spans="1:9" x14ac:dyDescent="0.25">
      <c r="A89" s="200">
        <f t="shared" si="6"/>
        <v>2050</v>
      </c>
      <c r="B89" s="201" t="s">
        <v>16</v>
      </c>
      <c r="C89" s="201" t="str">
        <f t="shared" si="4"/>
        <v>NG2050</v>
      </c>
      <c r="D89" s="200">
        <v>4.2799999999999998E-2</v>
      </c>
      <c r="F89" s="14">
        <f t="shared" si="5"/>
        <v>2102</v>
      </c>
      <c r="G89" s="14">
        <v>1.0649</v>
      </c>
      <c r="H89" s="14">
        <v>3.8E-3</v>
      </c>
      <c r="I89" s="14">
        <v>1.06E-2</v>
      </c>
    </row>
    <row r="90" spans="1:9" x14ac:dyDescent="0.25">
      <c r="A90" s="200">
        <f t="shared" si="6"/>
        <v>2050</v>
      </c>
      <c r="B90" s="201" t="s">
        <v>17</v>
      </c>
      <c r="C90" s="201" t="str">
        <f t="shared" si="4"/>
        <v>SPT2050</v>
      </c>
      <c r="D90" s="200">
        <v>4.2799999999999998E-2</v>
      </c>
      <c r="F90" s="14">
        <f t="shared" si="5"/>
        <v>2103</v>
      </c>
      <c r="G90" s="14">
        <v>1.0649</v>
      </c>
      <c r="H90" s="14">
        <v>3.8E-3</v>
      </c>
      <c r="I90" s="14">
        <v>1.06E-2</v>
      </c>
    </row>
    <row r="91" spans="1:9" x14ac:dyDescent="0.25">
      <c r="A91" s="200">
        <f t="shared" si="6"/>
        <v>2050</v>
      </c>
      <c r="B91" s="201" t="s">
        <v>18</v>
      </c>
      <c r="C91" s="201" t="str">
        <f t="shared" si="4"/>
        <v>SHETL2050</v>
      </c>
      <c r="D91" s="200">
        <v>3.6200000000000003E-2</v>
      </c>
      <c r="F91" s="14">
        <f t="shared" si="5"/>
        <v>2104</v>
      </c>
      <c r="G91" s="14">
        <v>1.0649</v>
      </c>
      <c r="H91" s="14">
        <v>3.8E-3</v>
      </c>
      <c r="I91" s="14">
        <v>1.06E-2</v>
      </c>
    </row>
    <row r="92" spans="1:9" x14ac:dyDescent="0.25">
      <c r="A92" s="200">
        <f t="shared" si="6"/>
        <v>2051</v>
      </c>
      <c r="B92" s="201" t="s">
        <v>16</v>
      </c>
      <c r="C92" s="201" t="str">
        <f t="shared" si="4"/>
        <v>NG2051</v>
      </c>
      <c r="D92" s="200">
        <v>4.2799999999999998E-2</v>
      </c>
      <c r="F92" s="14">
        <f t="shared" si="5"/>
        <v>2105</v>
      </c>
      <c r="G92" s="14">
        <v>1.0649</v>
      </c>
      <c r="H92" s="14">
        <v>3.8E-3</v>
      </c>
      <c r="I92" s="14">
        <v>1.06E-2</v>
      </c>
    </row>
    <row r="93" spans="1:9" x14ac:dyDescent="0.25">
      <c r="A93" s="200">
        <f t="shared" si="6"/>
        <v>2051</v>
      </c>
      <c r="B93" s="201" t="s">
        <v>17</v>
      </c>
      <c r="C93" s="201" t="str">
        <f t="shared" si="4"/>
        <v>SPT2051</v>
      </c>
      <c r="D93" s="200">
        <v>4.2799999999999998E-2</v>
      </c>
      <c r="F93" s="14">
        <f t="shared" si="5"/>
        <v>2106</v>
      </c>
      <c r="G93" s="14">
        <v>1.0649</v>
      </c>
      <c r="H93" s="14">
        <v>3.8E-3</v>
      </c>
      <c r="I93" s="14">
        <v>1.06E-2</v>
      </c>
    </row>
    <row r="94" spans="1:9" x14ac:dyDescent="0.25">
      <c r="A94" s="200">
        <f t="shared" si="6"/>
        <v>2051</v>
      </c>
      <c r="B94" s="201" t="s">
        <v>18</v>
      </c>
      <c r="C94" s="201" t="str">
        <f t="shared" si="4"/>
        <v>SHETL2051</v>
      </c>
      <c r="D94" s="200">
        <v>3.6200000000000003E-2</v>
      </c>
      <c r="F94" s="14">
        <f t="shared" si="5"/>
        <v>2107</v>
      </c>
      <c r="G94" s="14">
        <v>1.0649</v>
      </c>
      <c r="H94" s="14">
        <v>3.8E-3</v>
      </c>
      <c r="I94" s="14">
        <v>1.06E-2</v>
      </c>
    </row>
    <row r="95" spans="1:9" x14ac:dyDescent="0.25">
      <c r="A95" s="200">
        <f t="shared" si="6"/>
        <v>2052</v>
      </c>
      <c r="B95" s="201" t="s">
        <v>16</v>
      </c>
      <c r="C95" s="201" t="str">
        <f t="shared" si="4"/>
        <v>NG2052</v>
      </c>
      <c r="D95" s="200">
        <v>4.2799999999999998E-2</v>
      </c>
      <c r="F95" s="14">
        <f t="shared" si="5"/>
        <v>2108</v>
      </c>
      <c r="G95" s="14">
        <v>1.0649</v>
      </c>
      <c r="H95" s="14">
        <v>3.8E-3</v>
      </c>
      <c r="I95" s="14">
        <v>1.06E-2</v>
      </c>
    </row>
    <row r="96" spans="1:9" x14ac:dyDescent="0.25">
      <c r="A96" s="200">
        <f t="shared" si="6"/>
        <v>2052</v>
      </c>
      <c r="B96" s="201" t="s">
        <v>17</v>
      </c>
      <c r="C96" s="201" t="str">
        <f t="shared" si="4"/>
        <v>SPT2052</v>
      </c>
      <c r="D96" s="200">
        <v>4.2799999999999998E-2</v>
      </c>
      <c r="F96" s="14">
        <f t="shared" si="5"/>
        <v>2109</v>
      </c>
      <c r="G96" s="14">
        <v>1.0649</v>
      </c>
      <c r="H96" s="14">
        <v>3.8E-3</v>
      </c>
      <c r="I96" s="14">
        <v>1.06E-2</v>
      </c>
    </row>
    <row r="97" spans="1:9" x14ac:dyDescent="0.25">
      <c r="A97" s="200">
        <f t="shared" si="6"/>
        <v>2052</v>
      </c>
      <c r="B97" s="201" t="s">
        <v>18</v>
      </c>
      <c r="C97" s="201" t="str">
        <f t="shared" si="4"/>
        <v>SHETL2052</v>
      </c>
      <c r="D97" s="200">
        <v>3.6200000000000003E-2</v>
      </c>
      <c r="F97" s="14">
        <f t="shared" si="5"/>
        <v>2110</v>
      </c>
      <c r="G97" s="14">
        <v>1.0649</v>
      </c>
      <c r="H97" s="14">
        <v>3.8E-3</v>
      </c>
      <c r="I97" s="14">
        <v>1.06E-2</v>
      </c>
    </row>
    <row r="98" spans="1:9" x14ac:dyDescent="0.25">
      <c r="A98" s="200">
        <f t="shared" si="6"/>
        <v>2053</v>
      </c>
      <c r="B98" s="201" t="s">
        <v>16</v>
      </c>
      <c r="C98" s="201" t="str">
        <f t="shared" si="4"/>
        <v>NG2053</v>
      </c>
      <c r="D98" s="200">
        <v>4.2799999999999998E-2</v>
      </c>
      <c r="F98" s="14">
        <f t="shared" si="5"/>
        <v>2111</v>
      </c>
      <c r="G98" s="14">
        <v>1.0649</v>
      </c>
      <c r="H98" s="14">
        <v>3.8E-3</v>
      </c>
      <c r="I98" s="14">
        <v>1.06E-2</v>
      </c>
    </row>
    <row r="99" spans="1:9" x14ac:dyDescent="0.25">
      <c r="A99" s="200">
        <f t="shared" si="6"/>
        <v>2053</v>
      </c>
      <c r="B99" s="201" t="s">
        <v>17</v>
      </c>
      <c r="C99" s="201" t="str">
        <f t="shared" si="4"/>
        <v>SPT2053</v>
      </c>
      <c r="D99" s="200">
        <v>4.2799999999999998E-2</v>
      </c>
      <c r="F99" s="14">
        <f t="shared" si="5"/>
        <v>2112</v>
      </c>
      <c r="G99" s="14">
        <v>1.0649</v>
      </c>
      <c r="H99" s="14">
        <v>3.8E-3</v>
      </c>
      <c r="I99" s="14">
        <v>1.06E-2</v>
      </c>
    </row>
    <row r="100" spans="1:9" x14ac:dyDescent="0.25">
      <c r="A100" s="200">
        <f t="shared" si="6"/>
        <v>2053</v>
      </c>
      <c r="B100" s="201" t="s">
        <v>18</v>
      </c>
      <c r="C100" s="201" t="str">
        <f t="shared" si="4"/>
        <v>SHETL2053</v>
      </c>
      <c r="D100" s="200">
        <v>3.6200000000000003E-2</v>
      </c>
      <c r="F100" s="14">
        <f t="shared" si="5"/>
        <v>2113</v>
      </c>
      <c r="G100" s="14">
        <v>1.0649</v>
      </c>
      <c r="H100" s="14">
        <v>3.8E-3</v>
      </c>
      <c r="I100" s="14">
        <v>1.06E-2</v>
      </c>
    </row>
    <row r="101" spans="1:9" x14ac:dyDescent="0.25">
      <c r="A101" s="200">
        <f t="shared" si="6"/>
        <v>2054</v>
      </c>
      <c r="B101" s="201" t="s">
        <v>16</v>
      </c>
      <c r="C101" s="201" t="str">
        <f t="shared" si="4"/>
        <v>NG2054</v>
      </c>
      <c r="D101" s="200">
        <v>4.2799999999999998E-2</v>
      </c>
      <c r="F101" s="14">
        <f t="shared" si="5"/>
        <v>2114</v>
      </c>
      <c r="G101" s="14">
        <v>1.0649</v>
      </c>
      <c r="H101" s="14">
        <v>3.8E-3</v>
      </c>
      <c r="I101" s="14">
        <v>1.06E-2</v>
      </c>
    </row>
    <row r="102" spans="1:9" x14ac:dyDescent="0.25">
      <c r="A102" s="200">
        <f t="shared" si="6"/>
        <v>2054</v>
      </c>
      <c r="B102" s="201" t="s">
        <v>17</v>
      </c>
      <c r="C102" s="201" t="str">
        <f t="shared" si="4"/>
        <v>SPT2054</v>
      </c>
      <c r="D102" s="200">
        <v>4.2799999999999998E-2</v>
      </c>
      <c r="F102" s="14">
        <f t="shared" si="5"/>
        <v>2115</v>
      </c>
      <c r="G102" s="14">
        <v>1.0649</v>
      </c>
      <c r="H102" s="14">
        <v>3.8E-3</v>
      </c>
      <c r="I102" s="14">
        <v>1.06E-2</v>
      </c>
    </row>
    <row r="103" spans="1:9" x14ac:dyDescent="0.25">
      <c r="A103" s="200">
        <f t="shared" si="6"/>
        <v>2054</v>
      </c>
      <c r="B103" s="201" t="s">
        <v>18</v>
      </c>
      <c r="C103" s="201" t="str">
        <f t="shared" si="4"/>
        <v>SHETL2054</v>
      </c>
      <c r="D103" s="200">
        <v>3.6200000000000003E-2</v>
      </c>
      <c r="F103" s="14">
        <f t="shared" si="5"/>
        <v>2116</v>
      </c>
      <c r="G103" s="14">
        <v>1.0649</v>
      </c>
      <c r="H103" s="14">
        <v>3.8E-3</v>
      </c>
      <c r="I103" s="14">
        <v>1.06E-2</v>
      </c>
    </row>
    <row r="104" spans="1:9" x14ac:dyDescent="0.25">
      <c r="A104" s="200">
        <f t="shared" si="6"/>
        <v>2055</v>
      </c>
      <c r="B104" s="201" t="s">
        <v>16</v>
      </c>
      <c r="C104" s="201" t="str">
        <f t="shared" si="4"/>
        <v>NG2055</v>
      </c>
      <c r="D104" s="200">
        <v>4.2799999999999998E-2</v>
      </c>
      <c r="F104" s="14">
        <f t="shared" si="5"/>
        <v>2117</v>
      </c>
      <c r="G104" s="14">
        <v>1.0649</v>
      </c>
      <c r="H104" s="14">
        <v>3.8E-3</v>
      </c>
      <c r="I104" s="14">
        <v>1.06E-2</v>
      </c>
    </row>
    <row r="105" spans="1:9" x14ac:dyDescent="0.25">
      <c r="A105" s="200">
        <f t="shared" si="6"/>
        <v>2055</v>
      </c>
      <c r="B105" s="201" t="s">
        <v>17</v>
      </c>
      <c r="C105" s="201" t="str">
        <f t="shared" si="4"/>
        <v>SPT2055</v>
      </c>
      <c r="D105" s="200">
        <v>4.2799999999999998E-2</v>
      </c>
      <c r="F105" s="14">
        <f t="shared" si="5"/>
        <v>2118</v>
      </c>
      <c r="G105" s="14">
        <v>1.0649</v>
      </c>
      <c r="H105" s="14">
        <v>3.8E-3</v>
      </c>
      <c r="I105" s="14">
        <v>1.06E-2</v>
      </c>
    </row>
    <row r="106" spans="1:9" x14ac:dyDescent="0.25">
      <c r="A106" s="200">
        <f t="shared" si="6"/>
        <v>2055</v>
      </c>
      <c r="B106" s="201" t="s">
        <v>18</v>
      </c>
      <c r="C106" s="201" t="str">
        <f t="shared" si="4"/>
        <v>SHETL2055</v>
      </c>
      <c r="D106" s="200">
        <v>3.6200000000000003E-2</v>
      </c>
      <c r="F106" s="14">
        <f t="shared" si="5"/>
        <v>2119</v>
      </c>
      <c r="G106" s="14">
        <v>1.0649</v>
      </c>
      <c r="H106" s="14">
        <v>3.8E-3</v>
      </c>
      <c r="I106" s="14">
        <v>1.06E-2</v>
      </c>
    </row>
    <row r="107" spans="1:9" x14ac:dyDescent="0.25">
      <c r="A107" s="200">
        <f t="shared" si="6"/>
        <v>2056</v>
      </c>
      <c r="B107" s="201" t="s">
        <v>16</v>
      </c>
      <c r="C107" s="201" t="str">
        <f t="shared" si="4"/>
        <v>NG2056</v>
      </c>
      <c r="D107" s="200">
        <v>4.2799999999999998E-2</v>
      </c>
      <c r="F107" s="14">
        <f t="shared" si="5"/>
        <v>2120</v>
      </c>
      <c r="G107" s="14">
        <v>1.0649</v>
      </c>
      <c r="H107" s="14">
        <v>3.8E-3</v>
      </c>
      <c r="I107" s="14">
        <v>1.06E-2</v>
      </c>
    </row>
    <row r="108" spans="1:9" x14ac:dyDescent="0.25">
      <c r="A108" s="200">
        <f t="shared" si="6"/>
        <v>2056</v>
      </c>
      <c r="B108" s="201" t="s">
        <v>17</v>
      </c>
      <c r="C108" s="201" t="str">
        <f t="shared" si="4"/>
        <v>SPT2056</v>
      </c>
      <c r="D108" s="200">
        <v>4.2799999999999998E-2</v>
      </c>
      <c r="F108" s="14">
        <f t="shared" si="5"/>
        <v>2121</v>
      </c>
      <c r="G108" s="14">
        <v>1.0649</v>
      </c>
      <c r="H108" s="14">
        <v>3.8E-3</v>
      </c>
      <c r="I108" s="14">
        <v>1.06E-2</v>
      </c>
    </row>
    <row r="109" spans="1:9" x14ac:dyDescent="0.25">
      <c r="A109" s="200">
        <f t="shared" si="6"/>
        <v>2056</v>
      </c>
      <c r="B109" s="201" t="s">
        <v>18</v>
      </c>
      <c r="C109" s="201" t="str">
        <f t="shared" si="4"/>
        <v>SHETL2056</v>
      </c>
      <c r="D109" s="200">
        <v>3.6200000000000003E-2</v>
      </c>
      <c r="F109" s="14">
        <f t="shared" si="5"/>
        <v>2122</v>
      </c>
      <c r="G109" s="14">
        <v>1.0649</v>
      </c>
      <c r="H109" s="14">
        <v>3.8E-3</v>
      </c>
      <c r="I109" s="14">
        <v>1.06E-2</v>
      </c>
    </row>
    <row r="110" spans="1:9" x14ac:dyDescent="0.25">
      <c r="A110" s="200">
        <f t="shared" si="6"/>
        <v>2057</v>
      </c>
      <c r="B110" s="201" t="s">
        <v>16</v>
      </c>
      <c r="C110" s="201" t="str">
        <f t="shared" si="4"/>
        <v>NG2057</v>
      </c>
      <c r="D110" s="200">
        <v>4.2799999999999998E-2</v>
      </c>
      <c r="F110" s="14">
        <f t="shared" si="5"/>
        <v>2123</v>
      </c>
      <c r="G110" s="14">
        <v>1.0649</v>
      </c>
      <c r="H110" s="14">
        <v>3.8E-3</v>
      </c>
      <c r="I110" s="14">
        <v>1.06E-2</v>
      </c>
    </row>
    <row r="111" spans="1:9" x14ac:dyDescent="0.25">
      <c r="A111" s="200">
        <f t="shared" si="6"/>
        <v>2057</v>
      </c>
      <c r="B111" s="201" t="s">
        <v>17</v>
      </c>
      <c r="C111" s="201" t="str">
        <f t="shared" si="4"/>
        <v>SPT2057</v>
      </c>
      <c r="D111" s="200">
        <v>4.2799999999999998E-2</v>
      </c>
      <c r="F111" s="14">
        <f t="shared" si="5"/>
        <v>2124</v>
      </c>
      <c r="G111" s="14">
        <v>1.0649</v>
      </c>
      <c r="H111" s="14">
        <v>3.8E-3</v>
      </c>
      <c r="I111" s="14">
        <v>1.06E-2</v>
      </c>
    </row>
    <row r="112" spans="1:9" x14ac:dyDescent="0.25">
      <c r="A112" s="200">
        <f t="shared" si="6"/>
        <v>2057</v>
      </c>
      <c r="B112" s="201" t="s">
        <v>18</v>
      </c>
      <c r="C112" s="201" t="str">
        <f t="shared" si="4"/>
        <v>SHETL2057</v>
      </c>
      <c r="D112" s="200">
        <v>3.6200000000000003E-2</v>
      </c>
      <c r="F112" s="14">
        <f t="shared" si="5"/>
        <v>2125</v>
      </c>
      <c r="G112" s="14">
        <v>1.0649</v>
      </c>
      <c r="H112" s="14">
        <v>3.8E-3</v>
      </c>
      <c r="I112" s="14">
        <v>1.06E-2</v>
      </c>
    </row>
    <row r="113" spans="1:9" x14ac:dyDescent="0.25">
      <c r="A113" s="200">
        <f t="shared" si="6"/>
        <v>2058</v>
      </c>
      <c r="B113" s="201" t="s">
        <v>16</v>
      </c>
      <c r="C113" s="201" t="str">
        <f t="shared" si="4"/>
        <v>NG2058</v>
      </c>
      <c r="D113" s="200">
        <v>4.2799999999999998E-2</v>
      </c>
      <c r="F113" s="14">
        <f t="shared" si="5"/>
        <v>2126</v>
      </c>
      <c r="G113" s="14">
        <v>1.0649</v>
      </c>
      <c r="H113" s="14">
        <v>3.8E-3</v>
      </c>
      <c r="I113" s="14">
        <v>1.06E-2</v>
      </c>
    </row>
    <row r="114" spans="1:9" x14ac:dyDescent="0.25">
      <c r="A114" s="200">
        <f t="shared" si="6"/>
        <v>2058</v>
      </c>
      <c r="B114" s="201" t="s">
        <v>17</v>
      </c>
      <c r="C114" s="201" t="str">
        <f t="shared" si="4"/>
        <v>SPT2058</v>
      </c>
      <c r="D114" s="200">
        <v>4.2799999999999998E-2</v>
      </c>
      <c r="F114" s="14">
        <f t="shared" si="5"/>
        <v>2127</v>
      </c>
      <c r="G114" s="14">
        <v>1.0649</v>
      </c>
      <c r="H114" s="14">
        <v>3.8E-3</v>
      </c>
      <c r="I114" s="14">
        <v>1.06E-2</v>
      </c>
    </row>
    <row r="115" spans="1:9" x14ac:dyDescent="0.25">
      <c r="A115" s="200">
        <f t="shared" si="6"/>
        <v>2058</v>
      </c>
      <c r="B115" s="201" t="s">
        <v>18</v>
      </c>
      <c r="C115" s="201" t="str">
        <f t="shared" si="4"/>
        <v>SHETL2058</v>
      </c>
      <c r="D115" s="200">
        <v>3.6200000000000003E-2</v>
      </c>
      <c r="F115" s="14">
        <f t="shared" si="5"/>
        <v>2128</v>
      </c>
      <c r="G115" s="14">
        <v>1.0649</v>
      </c>
      <c r="H115" s="14">
        <v>3.8E-3</v>
      </c>
      <c r="I115" s="14">
        <v>1.06E-2</v>
      </c>
    </row>
    <row r="116" spans="1:9" x14ac:dyDescent="0.25">
      <c r="A116" s="200">
        <f t="shared" si="6"/>
        <v>2059</v>
      </c>
      <c r="B116" s="201" t="s">
        <v>16</v>
      </c>
      <c r="C116" s="201" t="str">
        <f t="shared" si="4"/>
        <v>NG2059</v>
      </c>
      <c r="D116" s="200">
        <v>4.2799999999999998E-2</v>
      </c>
      <c r="F116" s="14">
        <f t="shared" si="5"/>
        <v>2129</v>
      </c>
      <c r="G116" s="14">
        <v>1.0649</v>
      </c>
      <c r="H116" s="14">
        <v>3.8E-3</v>
      </c>
      <c r="I116" s="14">
        <v>1.06E-2</v>
      </c>
    </row>
    <row r="117" spans="1:9" x14ac:dyDescent="0.25">
      <c r="A117" s="200">
        <f t="shared" si="6"/>
        <v>2059</v>
      </c>
      <c r="B117" s="201" t="s">
        <v>17</v>
      </c>
      <c r="C117" s="201" t="str">
        <f t="shared" si="4"/>
        <v>SPT2059</v>
      </c>
      <c r="D117" s="200">
        <v>4.2799999999999998E-2</v>
      </c>
      <c r="F117" s="14">
        <f t="shared" si="5"/>
        <v>2130</v>
      </c>
      <c r="G117" s="14">
        <v>1.0649</v>
      </c>
      <c r="H117" s="14">
        <v>3.8E-3</v>
      </c>
      <c r="I117" s="14">
        <v>1.06E-2</v>
      </c>
    </row>
    <row r="118" spans="1:9" x14ac:dyDescent="0.25">
      <c r="A118" s="200">
        <f t="shared" si="6"/>
        <v>2059</v>
      </c>
      <c r="B118" s="201" t="s">
        <v>18</v>
      </c>
      <c r="C118" s="201" t="str">
        <f t="shared" si="4"/>
        <v>SHETL2059</v>
      </c>
      <c r="D118" s="200">
        <v>3.6200000000000003E-2</v>
      </c>
      <c r="F118" s="14">
        <f t="shared" si="5"/>
        <v>2131</v>
      </c>
      <c r="G118" s="14">
        <v>1.0649</v>
      </c>
      <c r="H118" s="14">
        <v>3.8E-3</v>
      </c>
      <c r="I118" s="14">
        <v>1.06E-2</v>
      </c>
    </row>
    <row r="119" spans="1:9" x14ac:dyDescent="0.25">
      <c r="A119" s="200">
        <f t="shared" si="6"/>
        <v>2060</v>
      </c>
      <c r="B119" s="201" t="s">
        <v>16</v>
      </c>
      <c r="C119" s="201" t="str">
        <f t="shared" si="4"/>
        <v>NG2060</v>
      </c>
      <c r="D119" s="200">
        <v>4.2799999999999998E-2</v>
      </c>
      <c r="F119" s="14">
        <f t="shared" si="5"/>
        <v>2132</v>
      </c>
      <c r="G119" s="14">
        <v>1.0649</v>
      </c>
      <c r="H119" s="14">
        <v>3.8E-3</v>
      </c>
      <c r="I119" s="14">
        <v>1.06E-2</v>
      </c>
    </row>
    <row r="120" spans="1:9" x14ac:dyDescent="0.25">
      <c r="A120" s="200">
        <f t="shared" si="6"/>
        <v>2060</v>
      </c>
      <c r="B120" s="201" t="s">
        <v>17</v>
      </c>
      <c r="C120" s="201" t="str">
        <f t="shared" si="4"/>
        <v>SPT2060</v>
      </c>
      <c r="D120" s="200">
        <v>4.2799999999999998E-2</v>
      </c>
      <c r="F120" s="14">
        <f t="shared" si="5"/>
        <v>2133</v>
      </c>
      <c r="G120" s="14">
        <v>1.0649</v>
      </c>
      <c r="H120" s="14">
        <v>3.8E-3</v>
      </c>
      <c r="I120" s="14">
        <v>1.06E-2</v>
      </c>
    </row>
    <row r="121" spans="1:9" x14ac:dyDescent="0.25">
      <c r="A121" s="200">
        <f t="shared" si="6"/>
        <v>2060</v>
      </c>
      <c r="B121" s="201" t="s">
        <v>18</v>
      </c>
      <c r="C121" s="201" t="str">
        <f t="shared" si="4"/>
        <v>SHETL2060</v>
      </c>
      <c r="D121" s="200">
        <v>3.6200000000000003E-2</v>
      </c>
      <c r="F121" s="14">
        <f t="shared" si="5"/>
        <v>2134</v>
      </c>
      <c r="G121" s="14">
        <v>1.0649</v>
      </c>
      <c r="H121" s="14">
        <v>3.8E-3</v>
      </c>
      <c r="I121" s="14">
        <v>1.06E-2</v>
      </c>
    </row>
    <row r="122" spans="1:9" x14ac:dyDescent="0.25">
      <c r="A122" s="200">
        <f t="shared" si="6"/>
        <v>2061</v>
      </c>
      <c r="B122" s="201" t="s">
        <v>16</v>
      </c>
      <c r="C122" s="201" t="str">
        <f t="shared" si="4"/>
        <v>NG2061</v>
      </c>
      <c r="D122" s="200">
        <v>4.2799999999999998E-2</v>
      </c>
      <c r="F122" s="14">
        <f t="shared" si="5"/>
        <v>2135</v>
      </c>
      <c r="G122" s="14">
        <v>1.0649</v>
      </c>
      <c r="H122" s="14">
        <v>3.8E-3</v>
      </c>
      <c r="I122" s="14">
        <v>1.06E-2</v>
      </c>
    </row>
    <row r="123" spans="1:9" x14ac:dyDescent="0.25">
      <c r="A123" s="200">
        <f t="shared" si="6"/>
        <v>2061</v>
      </c>
      <c r="B123" s="201" t="s">
        <v>17</v>
      </c>
      <c r="C123" s="201" t="str">
        <f t="shared" si="4"/>
        <v>SPT2061</v>
      </c>
      <c r="D123" s="200">
        <v>4.2799999999999998E-2</v>
      </c>
      <c r="F123" s="14">
        <f t="shared" si="5"/>
        <v>2136</v>
      </c>
      <c r="G123" s="14">
        <v>1.0649</v>
      </c>
      <c r="H123" s="14">
        <v>3.8E-3</v>
      </c>
      <c r="I123" s="14">
        <v>1.06E-2</v>
      </c>
    </row>
    <row r="124" spans="1:9" x14ac:dyDescent="0.25">
      <c r="A124" s="200">
        <f t="shared" si="6"/>
        <v>2061</v>
      </c>
      <c r="B124" s="201" t="s">
        <v>18</v>
      </c>
      <c r="C124" s="201" t="str">
        <f t="shared" si="4"/>
        <v>SHETL2061</v>
      </c>
      <c r="D124" s="200">
        <v>3.6200000000000003E-2</v>
      </c>
      <c r="F124" s="14">
        <f t="shared" si="5"/>
        <v>2137</v>
      </c>
      <c r="G124" s="14">
        <v>1.0649</v>
      </c>
      <c r="H124" s="14">
        <v>3.8E-3</v>
      </c>
      <c r="I124" s="14">
        <v>1.06E-2</v>
      </c>
    </row>
    <row r="125" spans="1:9" x14ac:dyDescent="0.25">
      <c r="A125" s="200">
        <f t="shared" si="6"/>
        <v>2062</v>
      </c>
      <c r="B125" s="201" t="s">
        <v>16</v>
      </c>
      <c r="C125" s="201" t="str">
        <f t="shared" si="4"/>
        <v>NG2062</v>
      </c>
      <c r="D125" s="200">
        <v>4.2799999999999998E-2</v>
      </c>
      <c r="F125" s="14">
        <f t="shared" si="5"/>
        <v>2138</v>
      </c>
      <c r="G125" s="14">
        <v>1.0649</v>
      </c>
      <c r="H125" s="14">
        <v>3.8E-3</v>
      </c>
      <c r="I125" s="14">
        <v>1.06E-2</v>
      </c>
    </row>
    <row r="126" spans="1:9" x14ac:dyDescent="0.25">
      <c r="A126" s="200">
        <f t="shared" si="6"/>
        <v>2062</v>
      </c>
      <c r="B126" s="201" t="s">
        <v>17</v>
      </c>
      <c r="C126" s="201" t="str">
        <f t="shared" si="4"/>
        <v>SPT2062</v>
      </c>
      <c r="D126" s="200">
        <v>4.2799999999999998E-2</v>
      </c>
      <c r="F126" s="14">
        <f t="shared" si="5"/>
        <v>2139</v>
      </c>
      <c r="G126" s="14">
        <v>1.0649</v>
      </c>
      <c r="H126" s="14">
        <v>3.8E-3</v>
      </c>
      <c r="I126" s="14">
        <v>1.06E-2</v>
      </c>
    </row>
    <row r="127" spans="1:9" x14ac:dyDescent="0.25">
      <c r="A127" s="200">
        <f t="shared" si="6"/>
        <v>2062</v>
      </c>
      <c r="B127" s="201" t="s">
        <v>18</v>
      </c>
      <c r="C127" s="201" t="str">
        <f t="shared" si="4"/>
        <v>SHETL2062</v>
      </c>
      <c r="D127" s="200">
        <v>3.6200000000000003E-2</v>
      </c>
      <c r="F127" s="14">
        <f t="shared" si="5"/>
        <v>2140</v>
      </c>
      <c r="G127" s="14">
        <v>1.0649</v>
      </c>
      <c r="H127" s="14">
        <v>3.8E-3</v>
      </c>
      <c r="I127" s="14">
        <v>1.06E-2</v>
      </c>
    </row>
    <row r="128" spans="1:9" x14ac:dyDescent="0.25">
      <c r="A128" s="200">
        <f t="shared" si="6"/>
        <v>2063</v>
      </c>
      <c r="B128" s="201" t="s">
        <v>16</v>
      </c>
      <c r="C128" s="201" t="str">
        <f t="shared" si="4"/>
        <v>NG2063</v>
      </c>
      <c r="D128" s="200">
        <v>4.2799999999999998E-2</v>
      </c>
      <c r="F128" s="14">
        <f t="shared" si="5"/>
        <v>2141</v>
      </c>
      <c r="G128" s="14">
        <v>1.0649</v>
      </c>
      <c r="H128" s="14">
        <v>3.8E-3</v>
      </c>
      <c r="I128" s="14">
        <v>1.06E-2</v>
      </c>
    </row>
    <row r="129" spans="1:9" x14ac:dyDescent="0.25">
      <c r="A129" s="200">
        <f t="shared" si="6"/>
        <v>2063</v>
      </c>
      <c r="B129" s="201" t="s">
        <v>17</v>
      </c>
      <c r="C129" s="201" t="str">
        <f t="shared" si="4"/>
        <v>SPT2063</v>
      </c>
      <c r="D129" s="200">
        <v>4.2799999999999998E-2</v>
      </c>
      <c r="F129" s="14">
        <f t="shared" si="5"/>
        <v>2142</v>
      </c>
      <c r="G129" s="14">
        <v>1.0649</v>
      </c>
      <c r="H129" s="14">
        <v>3.8E-3</v>
      </c>
      <c r="I129" s="14">
        <v>1.06E-2</v>
      </c>
    </row>
    <row r="130" spans="1:9" x14ac:dyDescent="0.25">
      <c r="A130" s="200">
        <f t="shared" si="6"/>
        <v>2063</v>
      </c>
      <c r="B130" s="201" t="s">
        <v>18</v>
      </c>
      <c r="C130" s="201" t="str">
        <f t="shared" si="4"/>
        <v>SHETL2063</v>
      </c>
      <c r="D130" s="200">
        <v>3.6200000000000003E-2</v>
      </c>
      <c r="F130" s="14">
        <f t="shared" si="5"/>
        <v>2143</v>
      </c>
      <c r="G130" s="14">
        <v>1.0649</v>
      </c>
      <c r="H130" s="14">
        <v>3.8E-3</v>
      </c>
      <c r="I130" s="14">
        <v>1.06E-2</v>
      </c>
    </row>
    <row r="131" spans="1:9" x14ac:dyDescent="0.25">
      <c r="A131" s="200">
        <f t="shared" si="6"/>
        <v>2064</v>
      </c>
      <c r="B131" s="201" t="s">
        <v>16</v>
      </c>
      <c r="C131" s="201" t="str">
        <f t="shared" ref="C131:C194" si="7">B131&amp;A131</f>
        <v>NG2064</v>
      </c>
      <c r="D131" s="200">
        <v>4.2799999999999998E-2</v>
      </c>
      <c r="F131" s="14">
        <f t="shared" si="5"/>
        <v>2144</v>
      </c>
      <c r="G131" s="14">
        <v>1.0649</v>
      </c>
      <c r="H131" s="14">
        <v>3.8E-3</v>
      </c>
      <c r="I131" s="14">
        <v>1.06E-2</v>
      </c>
    </row>
    <row r="132" spans="1:9" x14ac:dyDescent="0.25">
      <c r="A132" s="200">
        <f t="shared" si="6"/>
        <v>2064</v>
      </c>
      <c r="B132" s="201" t="s">
        <v>17</v>
      </c>
      <c r="C132" s="201" t="str">
        <f t="shared" si="7"/>
        <v>SPT2064</v>
      </c>
      <c r="D132" s="200">
        <v>4.2799999999999998E-2</v>
      </c>
      <c r="F132" s="14">
        <f t="shared" ref="F132:F195" si="8">F131+1</f>
        <v>2145</v>
      </c>
      <c r="G132" s="14">
        <v>1.0649</v>
      </c>
      <c r="H132" s="14">
        <v>3.8E-3</v>
      </c>
      <c r="I132" s="14">
        <v>1.06E-2</v>
      </c>
    </row>
    <row r="133" spans="1:9" x14ac:dyDescent="0.25">
      <c r="A133" s="200">
        <f t="shared" si="6"/>
        <v>2064</v>
      </c>
      <c r="B133" s="201" t="s">
        <v>18</v>
      </c>
      <c r="C133" s="201" t="str">
        <f t="shared" si="7"/>
        <v>SHETL2064</v>
      </c>
      <c r="D133" s="200">
        <v>3.6200000000000003E-2</v>
      </c>
      <c r="F133" s="14">
        <f t="shared" si="8"/>
        <v>2146</v>
      </c>
      <c r="G133" s="14">
        <v>1.0649</v>
      </c>
      <c r="H133" s="14">
        <v>3.8E-3</v>
      </c>
      <c r="I133" s="14">
        <v>1.06E-2</v>
      </c>
    </row>
    <row r="134" spans="1:9" x14ac:dyDescent="0.25">
      <c r="A134" s="200">
        <f t="shared" ref="A134:A197" si="9">A131+1</f>
        <v>2065</v>
      </c>
      <c r="B134" s="201" t="s">
        <v>16</v>
      </c>
      <c r="C134" s="201" t="str">
        <f t="shared" si="7"/>
        <v>NG2065</v>
      </c>
      <c r="D134" s="200">
        <v>4.2799999999999998E-2</v>
      </c>
      <c r="F134" s="14">
        <f t="shared" si="8"/>
        <v>2147</v>
      </c>
      <c r="G134" s="14">
        <v>1.0649</v>
      </c>
      <c r="H134" s="14">
        <v>3.8E-3</v>
      </c>
      <c r="I134" s="14">
        <v>1.06E-2</v>
      </c>
    </row>
    <row r="135" spans="1:9" x14ac:dyDescent="0.25">
      <c r="A135" s="200">
        <f t="shared" si="9"/>
        <v>2065</v>
      </c>
      <c r="B135" s="201" t="s">
        <v>17</v>
      </c>
      <c r="C135" s="201" t="str">
        <f t="shared" si="7"/>
        <v>SPT2065</v>
      </c>
      <c r="D135" s="200">
        <v>4.2799999999999998E-2</v>
      </c>
      <c r="F135" s="14">
        <f t="shared" si="8"/>
        <v>2148</v>
      </c>
      <c r="G135" s="14">
        <v>1.0649</v>
      </c>
      <c r="H135" s="14">
        <v>3.8E-3</v>
      </c>
      <c r="I135" s="14">
        <v>1.06E-2</v>
      </c>
    </row>
    <row r="136" spans="1:9" x14ac:dyDescent="0.25">
      <c r="A136" s="200">
        <f t="shared" si="9"/>
        <v>2065</v>
      </c>
      <c r="B136" s="201" t="s">
        <v>18</v>
      </c>
      <c r="C136" s="201" t="str">
        <f t="shared" si="7"/>
        <v>SHETL2065</v>
      </c>
      <c r="D136" s="200">
        <v>3.6200000000000003E-2</v>
      </c>
      <c r="F136" s="14">
        <f t="shared" si="8"/>
        <v>2149</v>
      </c>
      <c r="G136" s="14">
        <v>1.0649</v>
      </c>
      <c r="H136" s="14">
        <v>3.8E-3</v>
      </c>
      <c r="I136" s="14">
        <v>1.06E-2</v>
      </c>
    </row>
    <row r="137" spans="1:9" x14ac:dyDescent="0.25">
      <c r="A137" s="200">
        <f t="shared" si="9"/>
        <v>2066</v>
      </c>
      <c r="B137" s="201" t="s">
        <v>16</v>
      </c>
      <c r="C137" s="201" t="str">
        <f t="shared" si="7"/>
        <v>NG2066</v>
      </c>
      <c r="D137" s="200">
        <v>4.2799999999999998E-2</v>
      </c>
      <c r="F137" s="14">
        <f t="shared" si="8"/>
        <v>2150</v>
      </c>
      <c r="G137" s="14">
        <v>1.0649</v>
      </c>
      <c r="H137" s="14">
        <v>3.8E-3</v>
      </c>
      <c r="I137" s="14">
        <v>1.06E-2</v>
      </c>
    </row>
    <row r="138" spans="1:9" x14ac:dyDescent="0.25">
      <c r="A138" s="200">
        <f t="shared" si="9"/>
        <v>2066</v>
      </c>
      <c r="B138" s="201" t="s">
        <v>17</v>
      </c>
      <c r="C138" s="201" t="str">
        <f t="shared" si="7"/>
        <v>SPT2066</v>
      </c>
      <c r="D138" s="200">
        <v>4.2799999999999998E-2</v>
      </c>
      <c r="F138" s="14">
        <f t="shared" si="8"/>
        <v>2151</v>
      </c>
      <c r="G138" s="14">
        <v>1.0649</v>
      </c>
      <c r="H138" s="14">
        <v>3.8E-3</v>
      </c>
      <c r="I138" s="14">
        <v>1.06E-2</v>
      </c>
    </row>
    <row r="139" spans="1:9" x14ac:dyDescent="0.25">
      <c r="A139" s="200">
        <f t="shared" si="9"/>
        <v>2066</v>
      </c>
      <c r="B139" s="201" t="s">
        <v>18</v>
      </c>
      <c r="C139" s="201" t="str">
        <f t="shared" si="7"/>
        <v>SHETL2066</v>
      </c>
      <c r="D139" s="200">
        <v>3.6200000000000003E-2</v>
      </c>
      <c r="F139" s="14">
        <f t="shared" si="8"/>
        <v>2152</v>
      </c>
      <c r="G139" s="14">
        <v>1.0649</v>
      </c>
      <c r="H139" s="14">
        <v>3.8E-3</v>
      </c>
      <c r="I139" s="14">
        <v>1.06E-2</v>
      </c>
    </row>
    <row r="140" spans="1:9" x14ac:dyDescent="0.25">
      <c r="A140" s="200">
        <f t="shared" si="9"/>
        <v>2067</v>
      </c>
      <c r="B140" s="201" t="s">
        <v>16</v>
      </c>
      <c r="C140" s="201" t="str">
        <f t="shared" si="7"/>
        <v>NG2067</v>
      </c>
      <c r="D140" s="200">
        <v>4.2799999999999998E-2</v>
      </c>
      <c r="F140" s="14">
        <f t="shared" si="8"/>
        <v>2153</v>
      </c>
      <c r="G140" s="14">
        <v>1.0649</v>
      </c>
      <c r="H140" s="14">
        <v>3.8E-3</v>
      </c>
      <c r="I140" s="14">
        <v>1.06E-2</v>
      </c>
    </row>
    <row r="141" spans="1:9" x14ac:dyDescent="0.25">
      <c r="A141" s="200">
        <f t="shared" si="9"/>
        <v>2067</v>
      </c>
      <c r="B141" s="201" t="s">
        <v>17</v>
      </c>
      <c r="C141" s="201" t="str">
        <f t="shared" si="7"/>
        <v>SPT2067</v>
      </c>
      <c r="D141" s="200">
        <v>4.2799999999999998E-2</v>
      </c>
      <c r="F141" s="14">
        <f t="shared" si="8"/>
        <v>2154</v>
      </c>
      <c r="G141" s="14">
        <v>1.0649</v>
      </c>
      <c r="H141" s="14">
        <v>3.8E-3</v>
      </c>
      <c r="I141" s="14">
        <v>1.06E-2</v>
      </c>
    </row>
    <row r="142" spans="1:9" x14ac:dyDescent="0.25">
      <c r="A142" s="200">
        <f t="shared" si="9"/>
        <v>2067</v>
      </c>
      <c r="B142" s="201" t="s">
        <v>18</v>
      </c>
      <c r="C142" s="201" t="str">
        <f t="shared" si="7"/>
        <v>SHETL2067</v>
      </c>
      <c r="D142" s="200">
        <v>3.6200000000000003E-2</v>
      </c>
      <c r="F142" s="14">
        <f t="shared" si="8"/>
        <v>2155</v>
      </c>
      <c r="G142" s="14">
        <v>1.0649</v>
      </c>
      <c r="H142" s="14">
        <v>3.8E-3</v>
      </c>
      <c r="I142" s="14">
        <v>1.06E-2</v>
      </c>
    </row>
    <row r="143" spans="1:9" x14ac:dyDescent="0.25">
      <c r="A143" s="200">
        <f t="shared" si="9"/>
        <v>2068</v>
      </c>
      <c r="B143" s="201" t="s">
        <v>16</v>
      </c>
      <c r="C143" s="201" t="str">
        <f t="shared" si="7"/>
        <v>NG2068</v>
      </c>
      <c r="D143" s="200">
        <v>4.2799999999999998E-2</v>
      </c>
      <c r="F143" s="14">
        <f t="shared" si="8"/>
        <v>2156</v>
      </c>
      <c r="G143" s="14">
        <v>1.0649</v>
      </c>
      <c r="H143" s="14">
        <v>3.8E-3</v>
      </c>
      <c r="I143" s="14">
        <v>1.06E-2</v>
      </c>
    </row>
    <row r="144" spans="1:9" x14ac:dyDescent="0.25">
      <c r="A144" s="200">
        <f t="shared" si="9"/>
        <v>2068</v>
      </c>
      <c r="B144" s="201" t="s">
        <v>17</v>
      </c>
      <c r="C144" s="201" t="str">
        <f t="shared" si="7"/>
        <v>SPT2068</v>
      </c>
      <c r="D144" s="200">
        <v>4.2799999999999998E-2</v>
      </c>
      <c r="F144" s="14">
        <f t="shared" si="8"/>
        <v>2157</v>
      </c>
      <c r="G144" s="14">
        <v>1.0649</v>
      </c>
      <c r="H144" s="14">
        <v>3.8E-3</v>
      </c>
      <c r="I144" s="14">
        <v>1.06E-2</v>
      </c>
    </row>
    <row r="145" spans="1:9" x14ac:dyDescent="0.25">
      <c r="A145" s="200">
        <f t="shared" si="9"/>
        <v>2068</v>
      </c>
      <c r="B145" s="201" t="s">
        <v>18</v>
      </c>
      <c r="C145" s="201" t="str">
        <f t="shared" si="7"/>
        <v>SHETL2068</v>
      </c>
      <c r="D145" s="200">
        <v>3.6200000000000003E-2</v>
      </c>
      <c r="F145" s="14">
        <f t="shared" si="8"/>
        <v>2158</v>
      </c>
      <c r="G145" s="14">
        <v>1.0649</v>
      </c>
      <c r="H145" s="14">
        <v>3.8E-3</v>
      </c>
      <c r="I145" s="14">
        <v>1.06E-2</v>
      </c>
    </row>
    <row r="146" spans="1:9" x14ac:dyDescent="0.25">
      <c r="A146" s="200">
        <f t="shared" si="9"/>
        <v>2069</v>
      </c>
      <c r="B146" s="201" t="s">
        <v>16</v>
      </c>
      <c r="C146" s="201" t="str">
        <f t="shared" si="7"/>
        <v>NG2069</v>
      </c>
      <c r="D146" s="200">
        <v>4.2799999999999998E-2</v>
      </c>
      <c r="F146" s="14">
        <f t="shared" si="8"/>
        <v>2159</v>
      </c>
      <c r="G146" s="14">
        <v>1.0649</v>
      </c>
      <c r="H146" s="14">
        <v>3.8E-3</v>
      </c>
      <c r="I146" s="14">
        <v>1.06E-2</v>
      </c>
    </row>
    <row r="147" spans="1:9" x14ac:dyDescent="0.25">
      <c r="A147" s="200">
        <f t="shared" si="9"/>
        <v>2069</v>
      </c>
      <c r="B147" s="201" t="s">
        <v>17</v>
      </c>
      <c r="C147" s="201" t="str">
        <f t="shared" si="7"/>
        <v>SPT2069</v>
      </c>
      <c r="D147" s="200">
        <v>4.2799999999999998E-2</v>
      </c>
      <c r="F147" s="14">
        <f t="shared" si="8"/>
        <v>2160</v>
      </c>
      <c r="G147" s="14">
        <v>1.0649</v>
      </c>
      <c r="H147" s="14">
        <v>3.8E-3</v>
      </c>
      <c r="I147" s="14">
        <v>1.06E-2</v>
      </c>
    </row>
    <row r="148" spans="1:9" x14ac:dyDescent="0.25">
      <c r="A148" s="200">
        <f t="shared" si="9"/>
        <v>2069</v>
      </c>
      <c r="B148" s="201" t="s">
        <v>18</v>
      </c>
      <c r="C148" s="201" t="str">
        <f t="shared" si="7"/>
        <v>SHETL2069</v>
      </c>
      <c r="D148" s="200">
        <v>3.6200000000000003E-2</v>
      </c>
      <c r="F148" s="14">
        <f t="shared" si="8"/>
        <v>2161</v>
      </c>
      <c r="G148" s="14">
        <v>1.0649</v>
      </c>
      <c r="H148" s="14">
        <v>3.8E-3</v>
      </c>
      <c r="I148" s="14">
        <v>1.06E-2</v>
      </c>
    </row>
    <row r="149" spans="1:9" x14ac:dyDescent="0.25">
      <c r="A149" s="200">
        <f t="shared" si="9"/>
        <v>2070</v>
      </c>
      <c r="B149" s="201" t="s">
        <v>16</v>
      </c>
      <c r="C149" s="201" t="str">
        <f t="shared" si="7"/>
        <v>NG2070</v>
      </c>
      <c r="D149" s="200">
        <v>4.2799999999999998E-2</v>
      </c>
      <c r="F149" s="14">
        <f t="shared" si="8"/>
        <v>2162</v>
      </c>
      <c r="G149" s="14">
        <v>1.0649</v>
      </c>
      <c r="H149" s="14">
        <v>3.8E-3</v>
      </c>
      <c r="I149" s="14">
        <v>1.06E-2</v>
      </c>
    </row>
    <row r="150" spans="1:9" x14ac:dyDescent="0.25">
      <c r="A150" s="200">
        <f t="shared" si="9"/>
        <v>2070</v>
      </c>
      <c r="B150" s="201" t="s">
        <v>17</v>
      </c>
      <c r="C150" s="201" t="str">
        <f t="shared" si="7"/>
        <v>SPT2070</v>
      </c>
      <c r="D150" s="200">
        <v>4.2799999999999998E-2</v>
      </c>
      <c r="F150" s="14">
        <f t="shared" si="8"/>
        <v>2163</v>
      </c>
      <c r="G150" s="14">
        <v>1.0649</v>
      </c>
      <c r="H150" s="14">
        <v>3.8E-3</v>
      </c>
      <c r="I150" s="14">
        <v>1.06E-2</v>
      </c>
    </row>
    <row r="151" spans="1:9" x14ac:dyDescent="0.25">
      <c r="A151" s="200">
        <f t="shared" si="9"/>
        <v>2070</v>
      </c>
      <c r="B151" s="201" t="s">
        <v>18</v>
      </c>
      <c r="C151" s="201" t="str">
        <f t="shared" si="7"/>
        <v>SHETL2070</v>
      </c>
      <c r="D151" s="200">
        <v>3.6200000000000003E-2</v>
      </c>
      <c r="F151" s="14">
        <f t="shared" si="8"/>
        <v>2164</v>
      </c>
      <c r="G151" s="14">
        <v>1.0649</v>
      </c>
      <c r="H151" s="14">
        <v>3.8E-3</v>
      </c>
      <c r="I151" s="14">
        <v>1.06E-2</v>
      </c>
    </row>
    <row r="152" spans="1:9" x14ac:dyDescent="0.25">
      <c r="A152" s="200">
        <f t="shared" si="9"/>
        <v>2071</v>
      </c>
      <c r="B152" s="201" t="s">
        <v>16</v>
      </c>
      <c r="C152" s="201" t="str">
        <f t="shared" si="7"/>
        <v>NG2071</v>
      </c>
      <c r="D152" s="200">
        <v>4.2799999999999998E-2</v>
      </c>
      <c r="F152" s="14">
        <f t="shared" si="8"/>
        <v>2165</v>
      </c>
      <c r="G152" s="14">
        <v>1.0649</v>
      </c>
      <c r="H152" s="14">
        <v>3.8E-3</v>
      </c>
      <c r="I152" s="14">
        <v>1.06E-2</v>
      </c>
    </row>
    <row r="153" spans="1:9" x14ac:dyDescent="0.25">
      <c r="A153" s="200">
        <f t="shared" si="9"/>
        <v>2071</v>
      </c>
      <c r="B153" s="201" t="s">
        <v>17</v>
      </c>
      <c r="C153" s="201" t="str">
        <f t="shared" si="7"/>
        <v>SPT2071</v>
      </c>
      <c r="D153" s="200">
        <v>4.2799999999999998E-2</v>
      </c>
      <c r="F153" s="14">
        <f t="shared" si="8"/>
        <v>2166</v>
      </c>
      <c r="G153" s="14">
        <v>1.0649</v>
      </c>
      <c r="H153" s="14">
        <v>3.8E-3</v>
      </c>
      <c r="I153" s="14">
        <v>1.06E-2</v>
      </c>
    </row>
    <row r="154" spans="1:9" x14ac:dyDescent="0.25">
      <c r="A154" s="200">
        <f t="shared" si="9"/>
        <v>2071</v>
      </c>
      <c r="B154" s="201" t="s">
        <v>18</v>
      </c>
      <c r="C154" s="201" t="str">
        <f t="shared" si="7"/>
        <v>SHETL2071</v>
      </c>
      <c r="D154" s="200">
        <v>3.6200000000000003E-2</v>
      </c>
      <c r="F154" s="14">
        <f t="shared" si="8"/>
        <v>2167</v>
      </c>
      <c r="G154" s="14">
        <v>1.0649</v>
      </c>
      <c r="H154" s="14">
        <v>3.8E-3</v>
      </c>
      <c r="I154" s="14">
        <v>1.06E-2</v>
      </c>
    </row>
    <row r="155" spans="1:9" x14ac:dyDescent="0.25">
      <c r="A155" s="200">
        <f t="shared" si="9"/>
        <v>2072</v>
      </c>
      <c r="B155" s="201" t="s">
        <v>16</v>
      </c>
      <c r="C155" s="201" t="str">
        <f t="shared" si="7"/>
        <v>NG2072</v>
      </c>
      <c r="D155" s="200">
        <v>4.2799999999999998E-2</v>
      </c>
      <c r="F155" s="14">
        <f t="shared" si="8"/>
        <v>2168</v>
      </c>
      <c r="G155" s="14">
        <v>1.0649</v>
      </c>
      <c r="H155" s="14">
        <v>3.8E-3</v>
      </c>
      <c r="I155" s="14">
        <v>1.06E-2</v>
      </c>
    </row>
    <row r="156" spans="1:9" x14ac:dyDescent="0.25">
      <c r="A156" s="200">
        <f t="shared" si="9"/>
        <v>2072</v>
      </c>
      <c r="B156" s="201" t="s">
        <v>17</v>
      </c>
      <c r="C156" s="201" t="str">
        <f t="shared" si="7"/>
        <v>SPT2072</v>
      </c>
      <c r="D156" s="200">
        <v>4.2799999999999998E-2</v>
      </c>
      <c r="F156" s="14">
        <f t="shared" si="8"/>
        <v>2169</v>
      </c>
      <c r="G156" s="14">
        <v>1.0649</v>
      </c>
      <c r="H156" s="14">
        <v>3.8E-3</v>
      </c>
      <c r="I156" s="14">
        <v>1.06E-2</v>
      </c>
    </row>
    <row r="157" spans="1:9" x14ac:dyDescent="0.25">
      <c r="A157" s="200">
        <f t="shared" si="9"/>
        <v>2072</v>
      </c>
      <c r="B157" s="201" t="s">
        <v>18</v>
      </c>
      <c r="C157" s="201" t="str">
        <f t="shared" si="7"/>
        <v>SHETL2072</v>
      </c>
      <c r="D157" s="200">
        <v>3.6200000000000003E-2</v>
      </c>
      <c r="F157" s="14">
        <f t="shared" si="8"/>
        <v>2170</v>
      </c>
      <c r="G157" s="14">
        <v>1.0649</v>
      </c>
      <c r="H157" s="14">
        <v>3.8E-3</v>
      </c>
      <c r="I157" s="14">
        <v>1.06E-2</v>
      </c>
    </row>
    <row r="158" spans="1:9" x14ac:dyDescent="0.25">
      <c r="A158" s="200">
        <f t="shared" si="9"/>
        <v>2073</v>
      </c>
      <c r="B158" s="201" t="s">
        <v>16</v>
      </c>
      <c r="C158" s="201" t="str">
        <f t="shared" si="7"/>
        <v>NG2073</v>
      </c>
      <c r="D158" s="200">
        <v>4.2799999999999998E-2</v>
      </c>
      <c r="F158" s="14">
        <f t="shared" si="8"/>
        <v>2171</v>
      </c>
      <c r="G158" s="14">
        <v>1.0649</v>
      </c>
      <c r="H158" s="14">
        <v>3.8E-3</v>
      </c>
      <c r="I158" s="14">
        <v>1.06E-2</v>
      </c>
    </row>
    <row r="159" spans="1:9" x14ac:dyDescent="0.25">
      <c r="A159" s="200">
        <f t="shared" si="9"/>
        <v>2073</v>
      </c>
      <c r="B159" s="201" t="s">
        <v>17</v>
      </c>
      <c r="C159" s="201" t="str">
        <f t="shared" si="7"/>
        <v>SPT2073</v>
      </c>
      <c r="D159" s="200">
        <v>4.2799999999999998E-2</v>
      </c>
      <c r="F159" s="14">
        <f t="shared" si="8"/>
        <v>2172</v>
      </c>
      <c r="G159" s="14">
        <v>1.0649</v>
      </c>
      <c r="H159" s="14">
        <v>3.8E-3</v>
      </c>
      <c r="I159" s="14">
        <v>1.06E-2</v>
      </c>
    </row>
    <row r="160" spans="1:9" x14ac:dyDescent="0.25">
      <c r="A160" s="200">
        <f t="shared" si="9"/>
        <v>2073</v>
      </c>
      <c r="B160" s="201" t="s">
        <v>18</v>
      </c>
      <c r="C160" s="201" t="str">
        <f t="shared" si="7"/>
        <v>SHETL2073</v>
      </c>
      <c r="D160" s="200">
        <v>3.6200000000000003E-2</v>
      </c>
      <c r="F160" s="14">
        <f t="shared" si="8"/>
        <v>2173</v>
      </c>
      <c r="G160" s="14">
        <v>1.0649</v>
      </c>
      <c r="H160" s="14">
        <v>3.8E-3</v>
      </c>
      <c r="I160" s="14">
        <v>1.06E-2</v>
      </c>
    </row>
    <row r="161" spans="1:9" x14ac:dyDescent="0.25">
      <c r="A161" s="200">
        <f t="shared" si="9"/>
        <v>2074</v>
      </c>
      <c r="B161" s="201" t="s">
        <v>16</v>
      </c>
      <c r="C161" s="201" t="str">
        <f t="shared" si="7"/>
        <v>NG2074</v>
      </c>
      <c r="D161" s="200">
        <v>4.2799999999999998E-2</v>
      </c>
      <c r="F161" s="14">
        <f t="shared" si="8"/>
        <v>2174</v>
      </c>
      <c r="G161" s="14">
        <v>1.0649</v>
      </c>
      <c r="H161" s="14">
        <v>3.8E-3</v>
      </c>
      <c r="I161" s="14">
        <v>1.06E-2</v>
      </c>
    </row>
    <row r="162" spans="1:9" x14ac:dyDescent="0.25">
      <c r="A162" s="200">
        <f t="shared" si="9"/>
        <v>2074</v>
      </c>
      <c r="B162" s="201" t="s">
        <v>17</v>
      </c>
      <c r="C162" s="201" t="str">
        <f t="shared" si="7"/>
        <v>SPT2074</v>
      </c>
      <c r="D162" s="200">
        <v>4.2799999999999998E-2</v>
      </c>
      <c r="F162" s="14">
        <f t="shared" si="8"/>
        <v>2175</v>
      </c>
      <c r="G162" s="14">
        <v>1.0649</v>
      </c>
      <c r="H162" s="14">
        <v>3.8E-3</v>
      </c>
      <c r="I162" s="14">
        <v>1.06E-2</v>
      </c>
    </row>
    <row r="163" spans="1:9" x14ac:dyDescent="0.25">
      <c r="A163" s="200">
        <f t="shared" si="9"/>
        <v>2074</v>
      </c>
      <c r="B163" s="201" t="s">
        <v>18</v>
      </c>
      <c r="C163" s="201" t="str">
        <f t="shared" si="7"/>
        <v>SHETL2074</v>
      </c>
      <c r="D163" s="200">
        <v>3.6200000000000003E-2</v>
      </c>
      <c r="F163" s="14">
        <f t="shared" si="8"/>
        <v>2176</v>
      </c>
      <c r="G163" s="14">
        <v>1.0649</v>
      </c>
      <c r="H163" s="14">
        <v>3.8E-3</v>
      </c>
      <c r="I163" s="14">
        <v>1.06E-2</v>
      </c>
    </row>
    <row r="164" spans="1:9" x14ac:dyDescent="0.25">
      <c r="A164" s="200">
        <f t="shared" si="9"/>
        <v>2075</v>
      </c>
      <c r="B164" s="201" t="s">
        <v>16</v>
      </c>
      <c r="C164" s="201" t="str">
        <f t="shared" si="7"/>
        <v>NG2075</v>
      </c>
      <c r="D164" s="200">
        <v>4.2799999999999998E-2</v>
      </c>
      <c r="F164" s="14">
        <f t="shared" si="8"/>
        <v>2177</v>
      </c>
      <c r="G164" s="14">
        <v>1.0649</v>
      </c>
      <c r="H164" s="14">
        <v>3.8E-3</v>
      </c>
      <c r="I164" s="14">
        <v>1.06E-2</v>
      </c>
    </row>
    <row r="165" spans="1:9" x14ac:dyDescent="0.25">
      <c r="A165" s="200">
        <f t="shared" si="9"/>
        <v>2075</v>
      </c>
      <c r="B165" s="201" t="s">
        <v>17</v>
      </c>
      <c r="C165" s="201" t="str">
        <f t="shared" si="7"/>
        <v>SPT2075</v>
      </c>
      <c r="D165" s="200">
        <v>4.2799999999999998E-2</v>
      </c>
      <c r="F165" s="14">
        <f t="shared" si="8"/>
        <v>2178</v>
      </c>
      <c r="G165" s="14">
        <v>1.0649</v>
      </c>
      <c r="H165" s="14">
        <v>3.8E-3</v>
      </c>
      <c r="I165" s="14">
        <v>1.06E-2</v>
      </c>
    </row>
    <row r="166" spans="1:9" x14ac:dyDescent="0.25">
      <c r="A166" s="200">
        <f t="shared" si="9"/>
        <v>2075</v>
      </c>
      <c r="B166" s="201" t="s">
        <v>18</v>
      </c>
      <c r="C166" s="201" t="str">
        <f t="shared" si="7"/>
        <v>SHETL2075</v>
      </c>
      <c r="D166" s="200">
        <v>3.6200000000000003E-2</v>
      </c>
      <c r="F166" s="14">
        <f t="shared" si="8"/>
        <v>2179</v>
      </c>
      <c r="G166" s="14">
        <v>1.0649</v>
      </c>
      <c r="H166" s="14">
        <v>3.8E-3</v>
      </c>
      <c r="I166" s="14">
        <v>1.06E-2</v>
      </c>
    </row>
    <row r="167" spans="1:9" x14ac:dyDescent="0.25">
      <c r="A167" s="200">
        <f t="shared" si="9"/>
        <v>2076</v>
      </c>
      <c r="B167" s="201" t="s">
        <v>16</v>
      </c>
      <c r="C167" s="201" t="str">
        <f t="shared" si="7"/>
        <v>NG2076</v>
      </c>
      <c r="D167" s="200">
        <v>4.2799999999999998E-2</v>
      </c>
      <c r="F167" s="14">
        <f t="shared" si="8"/>
        <v>2180</v>
      </c>
      <c r="G167" s="14">
        <v>1.0649</v>
      </c>
      <c r="H167" s="14">
        <v>3.8E-3</v>
      </c>
      <c r="I167" s="14">
        <v>1.06E-2</v>
      </c>
    </row>
    <row r="168" spans="1:9" x14ac:dyDescent="0.25">
      <c r="A168" s="200">
        <f t="shared" si="9"/>
        <v>2076</v>
      </c>
      <c r="B168" s="201" t="s">
        <v>17</v>
      </c>
      <c r="C168" s="201" t="str">
        <f t="shared" si="7"/>
        <v>SPT2076</v>
      </c>
      <c r="D168" s="200">
        <v>4.2799999999999998E-2</v>
      </c>
      <c r="F168" s="14">
        <f t="shared" si="8"/>
        <v>2181</v>
      </c>
      <c r="G168" s="14">
        <v>1.0649</v>
      </c>
      <c r="H168" s="14">
        <v>3.8E-3</v>
      </c>
      <c r="I168" s="14">
        <v>1.06E-2</v>
      </c>
    </row>
    <row r="169" spans="1:9" x14ac:dyDescent="0.25">
      <c r="A169" s="200">
        <f t="shared" si="9"/>
        <v>2076</v>
      </c>
      <c r="B169" s="201" t="s">
        <v>18</v>
      </c>
      <c r="C169" s="201" t="str">
        <f t="shared" si="7"/>
        <v>SHETL2076</v>
      </c>
      <c r="D169" s="200">
        <v>3.6200000000000003E-2</v>
      </c>
      <c r="F169" s="14">
        <f t="shared" si="8"/>
        <v>2182</v>
      </c>
      <c r="G169" s="14">
        <v>1.0649</v>
      </c>
      <c r="H169" s="14">
        <v>3.8E-3</v>
      </c>
      <c r="I169" s="14">
        <v>1.06E-2</v>
      </c>
    </row>
    <row r="170" spans="1:9" x14ac:dyDescent="0.25">
      <c r="A170" s="200">
        <f t="shared" si="9"/>
        <v>2077</v>
      </c>
      <c r="B170" s="201" t="s">
        <v>16</v>
      </c>
      <c r="C170" s="201" t="str">
        <f t="shared" si="7"/>
        <v>NG2077</v>
      </c>
      <c r="D170" s="200">
        <v>4.2799999999999998E-2</v>
      </c>
      <c r="F170" s="14">
        <f t="shared" si="8"/>
        <v>2183</v>
      </c>
      <c r="G170" s="14">
        <v>1.0649</v>
      </c>
      <c r="H170" s="14">
        <v>3.8E-3</v>
      </c>
      <c r="I170" s="14">
        <v>1.06E-2</v>
      </c>
    </row>
    <row r="171" spans="1:9" x14ac:dyDescent="0.25">
      <c r="A171" s="200">
        <f t="shared" si="9"/>
        <v>2077</v>
      </c>
      <c r="B171" s="201" t="s">
        <v>17</v>
      </c>
      <c r="C171" s="201" t="str">
        <f t="shared" si="7"/>
        <v>SPT2077</v>
      </c>
      <c r="D171" s="200">
        <v>4.2799999999999998E-2</v>
      </c>
      <c r="F171" s="14">
        <f t="shared" si="8"/>
        <v>2184</v>
      </c>
      <c r="G171" s="14">
        <v>1.0649</v>
      </c>
      <c r="H171" s="14">
        <v>3.8E-3</v>
      </c>
      <c r="I171" s="14">
        <v>1.06E-2</v>
      </c>
    </row>
    <row r="172" spans="1:9" x14ac:dyDescent="0.25">
      <c r="A172" s="200">
        <f t="shared" si="9"/>
        <v>2077</v>
      </c>
      <c r="B172" s="201" t="s">
        <v>18</v>
      </c>
      <c r="C172" s="201" t="str">
        <f t="shared" si="7"/>
        <v>SHETL2077</v>
      </c>
      <c r="D172" s="200">
        <v>3.6200000000000003E-2</v>
      </c>
      <c r="F172" s="14">
        <f t="shared" si="8"/>
        <v>2185</v>
      </c>
      <c r="G172" s="14">
        <v>1.0649</v>
      </c>
      <c r="H172" s="14">
        <v>3.8E-3</v>
      </c>
      <c r="I172" s="14">
        <v>1.06E-2</v>
      </c>
    </row>
    <row r="173" spans="1:9" x14ac:dyDescent="0.25">
      <c r="A173" s="200">
        <f t="shared" si="9"/>
        <v>2078</v>
      </c>
      <c r="B173" s="201" t="s">
        <v>16</v>
      </c>
      <c r="C173" s="201" t="str">
        <f t="shared" si="7"/>
        <v>NG2078</v>
      </c>
      <c r="D173" s="200">
        <v>4.2799999999999998E-2</v>
      </c>
      <c r="F173" s="14">
        <f t="shared" si="8"/>
        <v>2186</v>
      </c>
      <c r="G173" s="14">
        <v>1.0649</v>
      </c>
      <c r="H173" s="14">
        <v>3.8E-3</v>
      </c>
      <c r="I173" s="14">
        <v>1.06E-2</v>
      </c>
    </row>
    <row r="174" spans="1:9" x14ac:dyDescent="0.25">
      <c r="A174" s="200">
        <f t="shared" si="9"/>
        <v>2078</v>
      </c>
      <c r="B174" s="201" t="s">
        <v>17</v>
      </c>
      <c r="C174" s="201" t="str">
        <f t="shared" si="7"/>
        <v>SPT2078</v>
      </c>
      <c r="D174" s="200">
        <v>4.2799999999999998E-2</v>
      </c>
      <c r="F174" s="14">
        <f t="shared" si="8"/>
        <v>2187</v>
      </c>
      <c r="G174" s="14">
        <v>1.0649</v>
      </c>
      <c r="H174" s="14">
        <v>3.8E-3</v>
      </c>
      <c r="I174" s="14">
        <v>1.06E-2</v>
      </c>
    </row>
    <row r="175" spans="1:9" x14ac:dyDescent="0.25">
      <c r="A175" s="200">
        <f t="shared" si="9"/>
        <v>2078</v>
      </c>
      <c r="B175" s="201" t="s">
        <v>18</v>
      </c>
      <c r="C175" s="201" t="str">
        <f t="shared" si="7"/>
        <v>SHETL2078</v>
      </c>
      <c r="D175" s="200">
        <v>3.6200000000000003E-2</v>
      </c>
      <c r="F175" s="14">
        <f t="shared" si="8"/>
        <v>2188</v>
      </c>
      <c r="G175" s="14">
        <v>1.0649</v>
      </c>
      <c r="H175" s="14">
        <v>3.8E-3</v>
      </c>
      <c r="I175" s="14">
        <v>1.06E-2</v>
      </c>
    </row>
    <row r="176" spans="1:9" x14ac:dyDescent="0.25">
      <c r="A176" s="200">
        <f t="shared" si="9"/>
        <v>2079</v>
      </c>
      <c r="B176" s="201" t="s">
        <v>16</v>
      </c>
      <c r="C176" s="201" t="str">
        <f t="shared" si="7"/>
        <v>NG2079</v>
      </c>
      <c r="D176" s="200">
        <v>4.2799999999999998E-2</v>
      </c>
      <c r="F176" s="14">
        <f t="shared" si="8"/>
        <v>2189</v>
      </c>
      <c r="G176" s="14">
        <v>1.0649</v>
      </c>
      <c r="H176" s="14">
        <v>3.8E-3</v>
      </c>
      <c r="I176" s="14">
        <v>1.06E-2</v>
      </c>
    </row>
    <row r="177" spans="1:9" x14ac:dyDescent="0.25">
      <c r="A177" s="200">
        <f t="shared" si="9"/>
        <v>2079</v>
      </c>
      <c r="B177" s="201" t="s">
        <v>17</v>
      </c>
      <c r="C177" s="201" t="str">
        <f t="shared" si="7"/>
        <v>SPT2079</v>
      </c>
      <c r="D177" s="200">
        <v>4.2799999999999998E-2</v>
      </c>
      <c r="F177" s="14">
        <f t="shared" si="8"/>
        <v>2190</v>
      </c>
      <c r="G177" s="14">
        <v>1.0649</v>
      </c>
      <c r="H177" s="14">
        <v>3.8E-3</v>
      </c>
      <c r="I177" s="14">
        <v>1.06E-2</v>
      </c>
    </row>
    <row r="178" spans="1:9" x14ac:dyDescent="0.25">
      <c r="A178" s="200">
        <f t="shared" si="9"/>
        <v>2079</v>
      </c>
      <c r="B178" s="201" t="s">
        <v>18</v>
      </c>
      <c r="C178" s="201" t="str">
        <f t="shared" si="7"/>
        <v>SHETL2079</v>
      </c>
      <c r="D178" s="200">
        <v>3.6200000000000003E-2</v>
      </c>
      <c r="F178" s="14">
        <f t="shared" si="8"/>
        <v>2191</v>
      </c>
      <c r="G178" s="14">
        <v>1.0649</v>
      </c>
      <c r="H178" s="14">
        <v>3.8E-3</v>
      </c>
      <c r="I178" s="14">
        <v>1.06E-2</v>
      </c>
    </row>
    <row r="179" spans="1:9" x14ac:dyDescent="0.25">
      <c r="A179" s="200">
        <f t="shared" si="9"/>
        <v>2080</v>
      </c>
      <c r="B179" s="201" t="s">
        <v>16</v>
      </c>
      <c r="C179" s="201" t="str">
        <f t="shared" si="7"/>
        <v>NG2080</v>
      </c>
      <c r="D179" s="200">
        <v>4.2799999999999998E-2</v>
      </c>
      <c r="F179" s="14">
        <f t="shared" si="8"/>
        <v>2192</v>
      </c>
      <c r="G179" s="14">
        <v>1.0649</v>
      </c>
      <c r="H179" s="14">
        <v>3.8E-3</v>
      </c>
      <c r="I179" s="14">
        <v>1.06E-2</v>
      </c>
    </row>
    <row r="180" spans="1:9" x14ac:dyDescent="0.25">
      <c r="A180" s="200">
        <f t="shared" si="9"/>
        <v>2080</v>
      </c>
      <c r="B180" s="201" t="s">
        <v>17</v>
      </c>
      <c r="C180" s="201" t="str">
        <f t="shared" si="7"/>
        <v>SPT2080</v>
      </c>
      <c r="D180" s="200">
        <v>4.2799999999999998E-2</v>
      </c>
      <c r="F180" s="14">
        <f t="shared" si="8"/>
        <v>2193</v>
      </c>
      <c r="G180" s="14">
        <v>1.0649</v>
      </c>
      <c r="H180" s="14">
        <v>3.8E-3</v>
      </c>
      <c r="I180" s="14">
        <v>1.06E-2</v>
      </c>
    </row>
    <row r="181" spans="1:9" x14ac:dyDescent="0.25">
      <c r="A181" s="200">
        <f t="shared" si="9"/>
        <v>2080</v>
      </c>
      <c r="B181" s="201" t="s">
        <v>18</v>
      </c>
      <c r="C181" s="201" t="str">
        <f t="shared" si="7"/>
        <v>SHETL2080</v>
      </c>
      <c r="D181" s="200">
        <v>3.6200000000000003E-2</v>
      </c>
      <c r="F181" s="14">
        <f t="shared" si="8"/>
        <v>2194</v>
      </c>
      <c r="G181" s="14">
        <v>1.0649</v>
      </c>
      <c r="H181" s="14">
        <v>3.8E-3</v>
      </c>
      <c r="I181" s="14">
        <v>1.06E-2</v>
      </c>
    </row>
    <row r="182" spans="1:9" x14ac:dyDescent="0.25">
      <c r="A182" s="200">
        <f t="shared" si="9"/>
        <v>2081</v>
      </c>
      <c r="B182" s="201" t="s">
        <v>16</v>
      </c>
      <c r="C182" s="201" t="str">
        <f t="shared" si="7"/>
        <v>NG2081</v>
      </c>
      <c r="D182" s="200">
        <v>4.2799999999999998E-2</v>
      </c>
      <c r="F182" s="14">
        <f t="shared" si="8"/>
        <v>2195</v>
      </c>
      <c r="G182" s="14">
        <v>1.0649</v>
      </c>
      <c r="H182" s="14">
        <v>3.8E-3</v>
      </c>
      <c r="I182" s="14">
        <v>1.06E-2</v>
      </c>
    </row>
    <row r="183" spans="1:9" x14ac:dyDescent="0.25">
      <c r="A183" s="200">
        <f t="shared" si="9"/>
        <v>2081</v>
      </c>
      <c r="B183" s="201" t="s">
        <v>17</v>
      </c>
      <c r="C183" s="201" t="str">
        <f t="shared" si="7"/>
        <v>SPT2081</v>
      </c>
      <c r="D183" s="200">
        <v>4.2799999999999998E-2</v>
      </c>
      <c r="F183" s="14">
        <f t="shared" si="8"/>
        <v>2196</v>
      </c>
      <c r="G183" s="14">
        <v>1.0649</v>
      </c>
      <c r="H183" s="14">
        <v>3.8E-3</v>
      </c>
      <c r="I183" s="14">
        <v>1.06E-2</v>
      </c>
    </row>
    <row r="184" spans="1:9" x14ac:dyDescent="0.25">
      <c r="A184" s="200">
        <f t="shared" si="9"/>
        <v>2081</v>
      </c>
      <c r="B184" s="201" t="s">
        <v>18</v>
      </c>
      <c r="C184" s="201" t="str">
        <f t="shared" si="7"/>
        <v>SHETL2081</v>
      </c>
      <c r="D184" s="200">
        <v>3.6200000000000003E-2</v>
      </c>
      <c r="F184" s="14">
        <f t="shared" si="8"/>
        <v>2197</v>
      </c>
      <c r="G184" s="14">
        <v>1.0649</v>
      </c>
      <c r="H184" s="14">
        <v>3.8E-3</v>
      </c>
      <c r="I184" s="14">
        <v>1.06E-2</v>
      </c>
    </row>
    <row r="185" spans="1:9" x14ac:dyDescent="0.25">
      <c r="A185" s="200">
        <f t="shared" si="9"/>
        <v>2082</v>
      </c>
      <c r="B185" s="201" t="s">
        <v>16</v>
      </c>
      <c r="C185" s="201" t="str">
        <f t="shared" si="7"/>
        <v>NG2082</v>
      </c>
      <c r="D185" s="200">
        <v>4.2799999999999998E-2</v>
      </c>
      <c r="F185" s="14">
        <f t="shared" si="8"/>
        <v>2198</v>
      </c>
      <c r="G185" s="14">
        <v>1.0649</v>
      </c>
      <c r="H185" s="14">
        <v>3.8E-3</v>
      </c>
      <c r="I185" s="14">
        <v>1.06E-2</v>
      </c>
    </row>
    <row r="186" spans="1:9" x14ac:dyDescent="0.25">
      <c r="A186" s="200">
        <f t="shared" si="9"/>
        <v>2082</v>
      </c>
      <c r="B186" s="201" t="s">
        <v>17</v>
      </c>
      <c r="C186" s="201" t="str">
        <f t="shared" si="7"/>
        <v>SPT2082</v>
      </c>
      <c r="D186" s="200">
        <v>4.2799999999999998E-2</v>
      </c>
      <c r="F186" s="14">
        <f t="shared" si="8"/>
        <v>2199</v>
      </c>
      <c r="G186" s="14">
        <v>1.0649</v>
      </c>
      <c r="H186" s="14">
        <v>3.8E-3</v>
      </c>
      <c r="I186" s="14">
        <v>1.06E-2</v>
      </c>
    </row>
    <row r="187" spans="1:9" x14ac:dyDescent="0.25">
      <c r="A187" s="200">
        <f t="shared" si="9"/>
        <v>2082</v>
      </c>
      <c r="B187" s="201" t="s">
        <v>18</v>
      </c>
      <c r="C187" s="201" t="str">
        <f t="shared" si="7"/>
        <v>SHETL2082</v>
      </c>
      <c r="D187" s="200">
        <v>3.6200000000000003E-2</v>
      </c>
      <c r="F187" s="14">
        <f t="shared" si="8"/>
        <v>2200</v>
      </c>
      <c r="G187" s="14">
        <v>1.0649</v>
      </c>
      <c r="H187" s="14">
        <v>3.8E-3</v>
      </c>
      <c r="I187" s="14">
        <v>1.06E-2</v>
      </c>
    </row>
    <row r="188" spans="1:9" x14ac:dyDescent="0.25">
      <c r="A188" s="200">
        <f t="shared" si="9"/>
        <v>2083</v>
      </c>
      <c r="B188" s="201" t="s">
        <v>16</v>
      </c>
      <c r="C188" s="201" t="str">
        <f t="shared" si="7"/>
        <v>NG2083</v>
      </c>
      <c r="D188" s="200">
        <v>4.2799999999999998E-2</v>
      </c>
      <c r="F188" s="14">
        <f t="shared" si="8"/>
        <v>2201</v>
      </c>
      <c r="G188" s="14">
        <v>1.0649</v>
      </c>
      <c r="H188" s="14">
        <v>3.8E-3</v>
      </c>
      <c r="I188" s="14">
        <v>1.06E-2</v>
      </c>
    </row>
    <row r="189" spans="1:9" x14ac:dyDescent="0.25">
      <c r="A189" s="200">
        <f t="shared" si="9"/>
        <v>2083</v>
      </c>
      <c r="B189" s="201" t="s">
        <v>17</v>
      </c>
      <c r="C189" s="201" t="str">
        <f t="shared" si="7"/>
        <v>SPT2083</v>
      </c>
      <c r="D189" s="200">
        <v>4.2799999999999998E-2</v>
      </c>
      <c r="F189" s="14">
        <f t="shared" si="8"/>
        <v>2202</v>
      </c>
      <c r="G189" s="14">
        <v>1.0649</v>
      </c>
      <c r="H189" s="14">
        <v>3.8E-3</v>
      </c>
      <c r="I189" s="14">
        <v>1.06E-2</v>
      </c>
    </row>
    <row r="190" spans="1:9" x14ac:dyDescent="0.25">
      <c r="A190" s="200">
        <f t="shared" si="9"/>
        <v>2083</v>
      </c>
      <c r="B190" s="201" t="s">
        <v>18</v>
      </c>
      <c r="C190" s="201" t="str">
        <f t="shared" si="7"/>
        <v>SHETL2083</v>
      </c>
      <c r="D190" s="200">
        <v>3.6200000000000003E-2</v>
      </c>
      <c r="F190" s="14">
        <f t="shared" si="8"/>
        <v>2203</v>
      </c>
      <c r="G190" s="14">
        <v>1.0649</v>
      </c>
      <c r="H190" s="14">
        <v>3.8E-3</v>
      </c>
      <c r="I190" s="14">
        <v>1.06E-2</v>
      </c>
    </row>
    <row r="191" spans="1:9" x14ac:dyDescent="0.25">
      <c r="A191" s="200">
        <f t="shared" si="9"/>
        <v>2084</v>
      </c>
      <c r="B191" s="201" t="s">
        <v>16</v>
      </c>
      <c r="C191" s="201" t="str">
        <f t="shared" si="7"/>
        <v>NG2084</v>
      </c>
      <c r="D191" s="200">
        <v>4.2799999999999998E-2</v>
      </c>
      <c r="F191" s="14">
        <f t="shared" si="8"/>
        <v>2204</v>
      </c>
      <c r="G191" s="14">
        <v>1.0649</v>
      </c>
      <c r="H191" s="14">
        <v>3.8E-3</v>
      </c>
      <c r="I191" s="14">
        <v>1.06E-2</v>
      </c>
    </row>
    <row r="192" spans="1:9" x14ac:dyDescent="0.25">
      <c r="A192" s="200">
        <f t="shared" si="9"/>
        <v>2084</v>
      </c>
      <c r="B192" s="201" t="s">
        <v>17</v>
      </c>
      <c r="C192" s="201" t="str">
        <f t="shared" si="7"/>
        <v>SPT2084</v>
      </c>
      <c r="D192" s="200">
        <v>4.2799999999999998E-2</v>
      </c>
      <c r="F192" s="14">
        <f t="shared" si="8"/>
        <v>2205</v>
      </c>
      <c r="G192" s="14">
        <v>1.0649</v>
      </c>
      <c r="H192" s="14">
        <v>3.8E-3</v>
      </c>
      <c r="I192" s="14">
        <v>1.06E-2</v>
      </c>
    </row>
    <row r="193" spans="1:9" x14ac:dyDescent="0.25">
      <c r="A193" s="200">
        <f t="shared" si="9"/>
        <v>2084</v>
      </c>
      <c r="B193" s="201" t="s">
        <v>18</v>
      </c>
      <c r="C193" s="201" t="str">
        <f t="shared" si="7"/>
        <v>SHETL2084</v>
      </c>
      <c r="D193" s="200">
        <v>3.6200000000000003E-2</v>
      </c>
      <c r="F193" s="14">
        <f t="shared" si="8"/>
        <v>2206</v>
      </c>
      <c r="G193" s="14">
        <v>1.0649</v>
      </c>
      <c r="H193" s="14">
        <v>3.8E-3</v>
      </c>
      <c r="I193" s="14">
        <v>1.06E-2</v>
      </c>
    </row>
    <row r="194" spans="1:9" x14ac:dyDescent="0.25">
      <c r="A194" s="200">
        <f t="shared" si="9"/>
        <v>2085</v>
      </c>
      <c r="B194" s="201" t="s">
        <v>16</v>
      </c>
      <c r="C194" s="201" t="str">
        <f t="shared" si="7"/>
        <v>NG2085</v>
      </c>
      <c r="D194" s="200">
        <v>4.2799999999999998E-2</v>
      </c>
      <c r="F194" s="14">
        <f t="shared" si="8"/>
        <v>2207</v>
      </c>
      <c r="G194" s="14">
        <v>1.0649</v>
      </c>
      <c r="H194" s="14">
        <v>3.8E-3</v>
      </c>
      <c r="I194" s="14">
        <v>1.06E-2</v>
      </c>
    </row>
    <row r="195" spans="1:9" x14ac:dyDescent="0.25">
      <c r="A195" s="200">
        <f t="shared" si="9"/>
        <v>2085</v>
      </c>
      <c r="B195" s="201" t="s">
        <v>17</v>
      </c>
      <c r="C195" s="201" t="str">
        <f t="shared" ref="C195:C244" si="10">B195&amp;A195</f>
        <v>SPT2085</v>
      </c>
      <c r="D195" s="200">
        <v>4.2799999999999998E-2</v>
      </c>
      <c r="F195" s="14">
        <f t="shared" si="8"/>
        <v>2208</v>
      </c>
      <c r="G195" s="14">
        <v>1.0649</v>
      </c>
      <c r="H195" s="14">
        <v>3.8E-3</v>
      </c>
      <c r="I195" s="14">
        <v>1.06E-2</v>
      </c>
    </row>
    <row r="196" spans="1:9" x14ac:dyDescent="0.25">
      <c r="A196" s="200">
        <f t="shared" si="9"/>
        <v>2085</v>
      </c>
      <c r="B196" s="201" t="s">
        <v>18</v>
      </c>
      <c r="C196" s="201" t="str">
        <f t="shared" si="10"/>
        <v>SHETL2085</v>
      </c>
      <c r="D196" s="200">
        <v>3.6200000000000003E-2</v>
      </c>
      <c r="F196" s="14">
        <f t="shared" ref="F196:F215" si="11">F195+1</f>
        <v>2209</v>
      </c>
      <c r="G196" s="14">
        <v>1.0649</v>
      </c>
      <c r="H196" s="14">
        <v>3.8E-3</v>
      </c>
      <c r="I196" s="14">
        <v>1.06E-2</v>
      </c>
    </row>
    <row r="197" spans="1:9" x14ac:dyDescent="0.25">
      <c r="A197" s="200">
        <f t="shared" si="9"/>
        <v>2086</v>
      </c>
      <c r="B197" s="201" t="s">
        <v>16</v>
      </c>
      <c r="C197" s="201" t="str">
        <f t="shared" si="10"/>
        <v>NG2086</v>
      </c>
      <c r="D197" s="200">
        <v>4.2799999999999998E-2</v>
      </c>
      <c r="F197" s="14">
        <f t="shared" si="11"/>
        <v>2210</v>
      </c>
      <c r="G197" s="14">
        <v>1.0649</v>
      </c>
      <c r="H197" s="14">
        <v>3.8E-3</v>
      </c>
      <c r="I197" s="14">
        <v>1.06E-2</v>
      </c>
    </row>
    <row r="198" spans="1:9" x14ac:dyDescent="0.25">
      <c r="A198" s="200">
        <f t="shared" ref="A198:A244" si="12">A195+1</f>
        <v>2086</v>
      </c>
      <c r="B198" s="201" t="s">
        <v>17</v>
      </c>
      <c r="C198" s="201" t="str">
        <f t="shared" si="10"/>
        <v>SPT2086</v>
      </c>
      <c r="D198" s="200">
        <v>4.2799999999999998E-2</v>
      </c>
      <c r="F198" s="14">
        <f t="shared" si="11"/>
        <v>2211</v>
      </c>
      <c r="G198" s="14">
        <v>1.0649</v>
      </c>
      <c r="H198" s="14">
        <v>3.8E-3</v>
      </c>
      <c r="I198" s="14">
        <v>1.06E-2</v>
      </c>
    </row>
    <row r="199" spans="1:9" x14ac:dyDescent="0.25">
      <c r="A199" s="200">
        <f t="shared" si="12"/>
        <v>2086</v>
      </c>
      <c r="B199" s="201" t="s">
        <v>18</v>
      </c>
      <c r="C199" s="201" t="str">
        <f t="shared" si="10"/>
        <v>SHETL2086</v>
      </c>
      <c r="D199" s="200">
        <v>3.6200000000000003E-2</v>
      </c>
      <c r="F199" s="14">
        <f t="shared" si="11"/>
        <v>2212</v>
      </c>
      <c r="G199" s="14">
        <v>1.0649</v>
      </c>
      <c r="H199" s="14">
        <v>3.8E-3</v>
      </c>
      <c r="I199" s="14">
        <v>1.06E-2</v>
      </c>
    </row>
    <row r="200" spans="1:9" x14ac:dyDescent="0.25">
      <c r="A200" s="200">
        <f t="shared" si="12"/>
        <v>2087</v>
      </c>
      <c r="B200" s="201" t="s">
        <v>16</v>
      </c>
      <c r="C200" s="201" t="str">
        <f t="shared" si="10"/>
        <v>NG2087</v>
      </c>
      <c r="D200" s="200">
        <v>4.2799999999999998E-2</v>
      </c>
      <c r="F200" s="14">
        <f t="shared" si="11"/>
        <v>2213</v>
      </c>
      <c r="G200" s="14">
        <v>1.0649</v>
      </c>
      <c r="H200" s="14">
        <v>3.8E-3</v>
      </c>
      <c r="I200" s="14">
        <v>1.06E-2</v>
      </c>
    </row>
    <row r="201" spans="1:9" x14ac:dyDescent="0.25">
      <c r="A201" s="200">
        <f t="shared" si="12"/>
        <v>2087</v>
      </c>
      <c r="B201" s="201" t="s">
        <v>17</v>
      </c>
      <c r="C201" s="201" t="str">
        <f t="shared" si="10"/>
        <v>SPT2087</v>
      </c>
      <c r="D201" s="200">
        <v>4.2799999999999998E-2</v>
      </c>
      <c r="F201" s="14">
        <f t="shared" si="11"/>
        <v>2214</v>
      </c>
      <c r="G201" s="14">
        <v>1.0649</v>
      </c>
      <c r="H201" s="14">
        <v>3.8E-3</v>
      </c>
      <c r="I201" s="14">
        <v>1.06E-2</v>
      </c>
    </row>
    <row r="202" spans="1:9" x14ac:dyDescent="0.25">
      <c r="A202" s="200">
        <f t="shared" si="12"/>
        <v>2087</v>
      </c>
      <c r="B202" s="201" t="s">
        <v>18</v>
      </c>
      <c r="C202" s="201" t="str">
        <f t="shared" si="10"/>
        <v>SHETL2087</v>
      </c>
      <c r="D202" s="200">
        <v>3.6200000000000003E-2</v>
      </c>
      <c r="F202" s="14">
        <f t="shared" si="11"/>
        <v>2215</v>
      </c>
      <c r="G202" s="14">
        <v>1.0649</v>
      </c>
      <c r="H202" s="14">
        <v>3.8E-3</v>
      </c>
      <c r="I202" s="14">
        <v>1.06E-2</v>
      </c>
    </row>
    <row r="203" spans="1:9" x14ac:dyDescent="0.25">
      <c r="A203" s="200">
        <f t="shared" si="12"/>
        <v>2088</v>
      </c>
      <c r="B203" s="201" t="s">
        <v>16</v>
      </c>
      <c r="C203" s="201" t="str">
        <f t="shared" si="10"/>
        <v>NG2088</v>
      </c>
      <c r="D203" s="200">
        <v>4.2799999999999998E-2</v>
      </c>
      <c r="F203" s="14">
        <f t="shared" si="11"/>
        <v>2216</v>
      </c>
      <c r="G203" s="14">
        <v>1.0649</v>
      </c>
      <c r="H203" s="14">
        <v>3.8E-3</v>
      </c>
      <c r="I203" s="14">
        <v>1.06E-2</v>
      </c>
    </row>
    <row r="204" spans="1:9" x14ac:dyDescent="0.25">
      <c r="A204" s="200">
        <f t="shared" si="12"/>
        <v>2088</v>
      </c>
      <c r="B204" s="201" t="s">
        <v>17</v>
      </c>
      <c r="C204" s="201" t="str">
        <f t="shared" si="10"/>
        <v>SPT2088</v>
      </c>
      <c r="D204" s="200">
        <v>4.2799999999999998E-2</v>
      </c>
      <c r="F204" s="14">
        <f t="shared" si="11"/>
        <v>2217</v>
      </c>
      <c r="G204" s="14">
        <v>1.0649</v>
      </c>
      <c r="H204" s="14">
        <v>3.8E-3</v>
      </c>
      <c r="I204" s="14">
        <v>1.06E-2</v>
      </c>
    </row>
    <row r="205" spans="1:9" x14ac:dyDescent="0.25">
      <c r="A205" s="200">
        <f t="shared" si="12"/>
        <v>2088</v>
      </c>
      <c r="B205" s="201" t="s">
        <v>18</v>
      </c>
      <c r="C205" s="201" t="str">
        <f t="shared" si="10"/>
        <v>SHETL2088</v>
      </c>
      <c r="D205" s="200">
        <v>3.6200000000000003E-2</v>
      </c>
      <c r="F205" s="14">
        <f t="shared" si="11"/>
        <v>2218</v>
      </c>
      <c r="G205" s="14">
        <v>1.0649</v>
      </c>
      <c r="H205" s="14">
        <v>3.8E-3</v>
      </c>
      <c r="I205" s="14">
        <v>1.06E-2</v>
      </c>
    </row>
    <row r="206" spans="1:9" x14ac:dyDescent="0.25">
      <c r="A206" s="200">
        <f t="shared" si="12"/>
        <v>2089</v>
      </c>
      <c r="B206" s="201" t="s">
        <v>16</v>
      </c>
      <c r="C206" s="201" t="str">
        <f t="shared" si="10"/>
        <v>NG2089</v>
      </c>
      <c r="D206" s="200">
        <v>4.2799999999999998E-2</v>
      </c>
      <c r="F206" s="14">
        <f t="shared" si="11"/>
        <v>2219</v>
      </c>
      <c r="G206" s="14">
        <v>1.0649</v>
      </c>
      <c r="H206" s="14">
        <v>3.8E-3</v>
      </c>
      <c r="I206" s="14">
        <v>1.06E-2</v>
      </c>
    </row>
    <row r="207" spans="1:9" x14ac:dyDescent="0.25">
      <c r="A207" s="200">
        <f t="shared" si="12"/>
        <v>2089</v>
      </c>
      <c r="B207" s="201" t="s">
        <v>17</v>
      </c>
      <c r="C207" s="201" t="str">
        <f t="shared" si="10"/>
        <v>SPT2089</v>
      </c>
      <c r="D207" s="200">
        <v>4.2799999999999998E-2</v>
      </c>
      <c r="F207" s="14">
        <f t="shared" si="11"/>
        <v>2220</v>
      </c>
      <c r="G207" s="14">
        <v>1.0649</v>
      </c>
      <c r="H207" s="14">
        <v>3.8E-3</v>
      </c>
      <c r="I207" s="14">
        <v>1.06E-2</v>
      </c>
    </row>
    <row r="208" spans="1:9" x14ac:dyDescent="0.25">
      <c r="A208" s="200">
        <f t="shared" si="12"/>
        <v>2089</v>
      </c>
      <c r="B208" s="201" t="s">
        <v>18</v>
      </c>
      <c r="C208" s="201" t="str">
        <f t="shared" si="10"/>
        <v>SHETL2089</v>
      </c>
      <c r="D208" s="200">
        <v>3.6200000000000003E-2</v>
      </c>
      <c r="F208" s="14">
        <f t="shared" si="11"/>
        <v>2221</v>
      </c>
      <c r="G208" s="14">
        <v>1.0649</v>
      </c>
      <c r="H208" s="14">
        <v>3.8E-3</v>
      </c>
      <c r="I208" s="14">
        <v>1.06E-2</v>
      </c>
    </row>
    <row r="209" spans="1:9" x14ac:dyDescent="0.25">
      <c r="A209" s="200">
        <f t="shared" si="12"/>
        <v>2090</v>
      </c>
      <c r="B209" s="201" t="s">
        <v>16</v>
      </c>
      <c r="C209" s="201" t="str">
        <f t="shared" si="10"/>
        <v>NG2090</v>
      </c>
      <c r="D209" s="200">
        <v>4.2799999999999998E-2</v>
      </c>
      <c r="F209" s="14">
        <f t="shared" si="11"/>
        <v>2222</v>
      </c>
      <c r="G209" s="14">
        <v>1.0649</v>
      </c>
      <c r="H209" s="14">
        <v>3.8E-3</v>
      </c>
      <c r="I209" s="14">
        <v>1.06E-2</v>
      </c>
    </row>
    <row r="210" spans="1:9" x14ac:dyDescent="0.25">
      <c r="A210" s="200">
        <f t="shared" si="12"/>
        <v>2090</v>
      </c>
      <c r="B210" s="201" t="s">
        <v>17</v>
      </c>
      <c r="C210" s="201" t="str">
        <f t="shared" si="10"/>
        <v>SPT2090</v>
      </c>
      <c r="D210" s="200">
        <v>4.2799999999999998E-2</v>
      </c>
      <c r="F210" s="14">
        <f t="shared" si="11"/>
        <v>2223</v>
      </c>
      <c r="G210" s="14">
        <v>1.0649</v>
      </c>
      <c r="H210" s="14">
        <v>3.8E-3</v>
      </c>
      <c r="I210" s="14">
        <v>1.06E-2</v>
      </c>
    </row>
    <row r="211" spans="1:9" x14ac:dyDescent="0.25">
      <c r="A211" s="200">
        <f t="shared" si="12"/>
        <v>2090</v>
      </c>
      <c r="B211" s="201" t="s">
        <v>18</v>
      </c>
      <c r="C211" s="201" t="str">
        <f t="shared" si="10"/>
        <v>SHETL2090</v>
      </c>
      <c r="D211" s="200">
        <v>3.6200000000000003E-2</v>
      </c>
      <c r="F211" s="14">
        <f t="shared" si="11"/>
        <v>2224</v>
      </c>
      <c r="G211" s="14">
        <v>1.0649</v>
      </c>
      <c r="H211" s="14">
        <v>3.8E-3</v>
      </c>
      <c r="I211" s="14">
        <v>1.06E-2</v>
      </c>
    </row>
    <row r="212" spans="1:9" x14ac:dyDescent="0.25">
      <c r="A212" s="200">
        <f t="shared" si="12"/>
        <v>2091</v>
      </c>
      <c r="B212" s="201" t="s">
        <v>16</v>
      </c>
      <c r="C212" s="201" t="str">
        <f t="shared" si="10"/>
        <v>NG2091</v>
      </c>
      <c r="D212" s="200">
        <v>4.2799999999999998E-2</v>
      </c>
      <c r="F212" s="14">
        <f t="shared" si="11"/>
        <v>2225</v>
      </c>
      <c r="G212" s="14">
        <v>1.0649</v>
      </c>
      <c r="H212" s="14">
        <v>3.8E-3</v>
      </c>
      <c r="I212" s="14">
        <v>1.06E-2</v>
      </c>
    </row>
    <row r="213" spans="1:9" x14ac:dyDescent="0.25">
      <c r="A213" s="200">
        <f t="shared" si="12"/>
        <v>2091</v>
      </c>
      <c r="B213" s="201" t="s">
        <v>17</v>
      </c>
      <c r="C213" s="201" t="str">
        <f t="shared" si="10"/>
        <v>SPT2091</v>
      </c>
      <c r="D213" s="200">
        <v>4.2799999999999998E-2</v>
      </c>
      <c r="F213" s="14">
        <f t="shared" si="11"/>
        <v>2226</v>
      </c>
      <c r="G213" s="14">
        <v>1.0649</v>
      </c>
      <c r="H213" s="14">
        <v>3.8E-3</v>
      </c>
      <c r="I213" s="14">
        <v>1.06E-2</v>
      </c>
    </row>
    <row r="214" spans="1:9" x14ac:dyDescent="0.25">
      <c r="A214" s="200">
        <f t="shared" si="12"/>
        <v>2091</v>
      </c>
      <c r="B214" s="201" t="s">
        <v>18</v>
      </c>
      <c r="C214" s="201" t="str">
        <f t="shared" si="10"/>
        <v>SHETL2091</v>
      </c>
      <c r="D214" s="200">
        <v>3.6200000000000003E-2</v>
      </c>
      <c r="F214" s="14">
        <f t="shared" si="11"/>
        <v>2227</v>
      </c>
      <c r="G214" s="14">
        <v>1.0649</v>
      </c>
      <c r="H214" s="14">
        <v>3.8E-3</v>
      </c>
      <c r="I214" s="14">
        <v>1.06E-2</v>
      </c>
    </row>
    <row r="215" spans="1:9" x14ac:dyDescent="0.25">
      <c r="A215" s="200">
        <f t="shared" si="12"/>
        <v>2092</v>
      </c>
      <c r="B215" s="201" t="s">
        <v>16</v>
      </c>
      <c r="C215" s="201" t="str">
        <f t="shared" si="10"/>
        <v>NG2092</v>
      </c>
      <c r="D215" s="200">
        <v>4.2799999999999998E-2</v>
      </c>
      <c r="F215" s="14">
        <f t="shared" si="11"/>
        <v>2228</v>
      </c>
      <c r="G215" s="14">
        <v>1.0649</v>
      </c>
      <c r="H215" s="14">
        <v>3.8E-3</v>
      </c>
      <c r="I215" s="14">
        <v>1.06E-2</v>
      </c>
    </row>
    <row r="216" spans="1:9" x14ac:dyDescent="0.25">
      <c r="A216" s="200">
        <f t="shared" si="12"/>
        <v>2092</v>
      </c>
      <c r="B216" s="201" t="s">
        <v>17</v>
      </c>
      <c r="C216" s="201" t="str">
        <f t="shared" si="10"/>
        <v>SPT2092</v>
      </c>
      <c r="D216" s="200">
        <v>4.2799999999999998E-2</v>
      </c>
    </row>
    <row r="217" spans="1:9" x14ac:dyDescent="0.25">
      <c r="A217" s="200">
        <f t="shared" si="12"/>
        <v>2092</v>
      </c>
      <c r="B217" s="201" t="s">
        <v>18</v>
      </c>
      <c r="C217" s="201" t="str">
        <f t="shared" si="10"/>
        <v>SHETL2092</v>
      </c>
      <c r="D217" s="200">
        <v>3.6200000000000003E-2</v>
      </c>
    </row>
    <row r="218" spans="1:9" x14ac:dyDescent="0.25">
      <c r="A218" s="200">
        <f t="shared" si="12"/>
        <v>2093</v>
      </c>
      <c r="B218" s="201" t="s">
        <v>16</v>
      </c>
      <c r="C218" s="201" t="str">
        <f t="shared" si="10"/>
        <v>NG2093</v>
      </c>
      <c r="D218" s="200">
        <v>4.2799999999999998E-2</v>
      </c>
    </row>
    <row r="219" spans="1:9" x14ac:dyDescent="0.25">
      <c r="A219" s="200">
        <f t="shared" si="12"/>
        <v>2093</v>
      </c>
      <c r="B219" s="201" t="s">
        <v>17</v>
      </c>
      <c r="C219" s="201" t="str">
        <f t="shared" si="10"/>
        <v>SPT2093</v>
      </c>
      <c r="D219" s="200">
        <v>4.2799999999999998E-2</v>
      </c>
    </row>
    <row r="220" spans="1:9" x14ac:dyDescent="0.25">
      <c r="A220" s="200">
        <f t="shared" si="12"/>
        <v>2093</v>
      </c>
      <c r="B220" s="201" t="s">
        <v>18</v>
      </c>
      <c r="C220" s="201" t="str">
        <f t="shared" si="10"/>
        <v>SHETL2093</v>
      </c>
      <c r="D220" s="200">
        <v>3.6200000000000003E-2</v>
      </c>
    </row>
    <row r="221" spans="1:9" x14ac:dyDescent="0.25">
      <c r="A221" s="200">
        <f t="shared" si="12"/>
        <v>2094</v>
      </c>
      <c r="B221" s="201" t="s">
        <v>16</v>
      </c>
      <c r="C221" s="201" t="str">
        <f t="shared" si="10"/>
        <v>NG2094</v>
      </c>
      <c r="D221" s="200">
        <v>4.2799999999999998E-2</v>
      </c>
    </row>
    <row r="222" spans="1:9" x14ac:dyDescent="0.25">
      <c r="A222" s="200">
        <f t="shared" si="12"/>
        <v>2094</v>
      </c>
      <c r="B222" s="201" t="s">
        <v>17</v>
      </c>
      <c r="C222" s="201" t="str">
        <f t="shared" si="10"/>
        <v>SPT2094</v>
      </c>
      <c r="D222" s="200">
        <v>4.2799999999999998E-2</v>
      </c>
    </row>
    <row r="223" spans="1:9" x14ac:dyDescent="0.25">
      <c r="A223" s="200">
        <f t="shared" si="12"/>
        <v>2094</v>
      </c>
      <c r="B223" s="201" t="s">
        <v>18</v>
      </c>
      <c r="C223" s="201" t="str">
        <f t="shared" si="10"/>
        <v>SHETL2094</v>
      </c>
      <c r="D223" s="200">
        <v>3.6200000000000003E-2</v>
      </c>
    </row>
    <row r="224" spans="1:9" x14ac:dyDescent="0.25">
      <c r="A224" s="200">
        <f t="shared" si="12"/>
        <v>2095</v>
      </c>
      <c r="B224" s="201" t="s">
        <v>16</v>
      </c>
      <c r="C224" s="201" t="str">
        <f t="shared" si="10"/>
        <v>NG2095</v>
      </c>
      <c r="D224" s="200">
        <v>4.2799999999999998E-2</v>
      </c>
    </row>
    <row r="225" spans="1:4" x14ac:dyDescent="0.25">
      <c r="A225" s="200">
        <f t="shared" si="12"/>
        <v>2095</v>
      </c>
      <c r="B225" s="201" t="s">
        <v>17</v>
      </c>
      <c r="C225" s="201" t="str">
        <f t="shared" si="10"/>
        <v>SPT2095</v>
      </c>
      <c r="D225" s="200">
        <v>4.2799999999999998E-2</v>
      </c>
    </row>
    <row r="226" spans="1:4" x14ac:dyDescent="0.25">
      <c r="A226" s="200">
        <f t="shared" si="12"/>
        <v>2095</v>
      </c>
      <c r="B226" s="201" t="s">
        <v>18</v>
      </c>
      <c r="C226" s="201" t="str">
        <f t="shared" si="10"/>
        <v>SHETL2095</v>
      </c>
      <c r="D226" s="200">
        <v>3.6200000000000003E-2</v>
      </c>
    </row>
    <row r="227" spans="1:4" x14ac:dyDescent="0.25">
      <c r="A227" s="200">
        <f t="shared" si="12"/>
        <v>2096</v>
      </c>
      <c r="B227" s="201" t="s">
        <v>16</v>
      </c>
      <c r="C227" s="201" t="str">
        <f t="shared" si="10"/>
        <v>NG2096</v>
      </c>
      <c r="D227" s="200">
        <v>4.2799999999999998E-2</v>
      </c>
    </row>
    <row r="228" spans="1:4" x14ac:dyDescent="0.25">
      <c r="A228" s="200">
        <f t="shared" si="12"/>
        <v>2096</v>
      </c>
      <c r="B228" s="201" t="s">
        <v>17</v>
      </c>
      <c r="C228" s="201" t="str">
        <f t="shared" si="10"/>
        <v>SPT2096</v>
      </c>
      <c r="D228" s="200">
        <v>4.2799999999999998E-2</v>
      </c>
    </row>
    <row r="229" spans="1:4" x14ac:dyDescent="0.25">
      <c r="A229" s="200">
        <f t="shared" si="12"/>
        <v>2096</v>
      </c>
      <c r="B229" s="201" t="s">
        <v>18</v>
      </c>
      <c r="C229" s="201" t="str">
        <f t="shared" si="10"/>
        <v>SHETL2096</v>
      </c>
      <c r="D229" s="200">
        <v>3.6200000000000003E-2</v>
      </c>
    </row>
    <row r="230" spans="1:4" x14ac:dyDescent="0.25">
      <c r="A230" s="200">
        <f t="shared" si="12"/>
        <v>2097</v>
      </c>
      <c r="B230" s="201" t="s">
        <v>16</v>
      </c>
      <c r="C230" s="201" t="str">
        <f t="shared" si="10"/>
        <v>NG2097</v>
      </c>
      <c r="D230" s="200">
        <v>4.2799999999999998E-2</v>
      </c>
    </row>
    <row r="231" spans="1:4" x14ac:dyDescent="0.25">
      <c r="A231" s="200">
        <f t="shared" si="12"/>
        <v>2097</v>
      </c>
      <c r="B231" s="201" t="s">
        <v>17</v>
      </c>
      <c r="C231" s="201" t="str">
        <f t="shared" si="10"/>
        <v>SPT2097</v>
      </c>
      <c r="D231" s="200">
        <v>4.2799999999999998E-2</v>
      </c>
    </row>
    <row r="232" spans="1:4" x14ac:dyDescent="0.25">
      <c r="A232" s="200">
        <f t="shared" si="12"/>
        <v>2097</v>
      </c>
      <c r="B232" s="201" t="s">
        <v>18</v>
      </c>
      <c r="C232" s="201" t="str">
        <f t="shared" si="10"/>
        <v>SHETL2097</v>
      </c>
      <c r="D232" s="200">
        <v>3.6200000000000003E-2</v>
      </c>
    </row>
    <row r="233" spans="1:4" x14ac:dyDescent="0.25">
      <c r="A233" s="200">
        <f t="shared" si="12"/>
        <v>2098</v>
      </c>
      <c r="B233" s="201" t="s">
        <v>16</v>
      </c>
      <c r="C233" s="201" t="str">
        <f t="shared" si="10"/>
        <v>NG2098</v>
      </c>
      <c r="D233" s="200">
        <v>4.2799999999999998E-2</v>
      </c>
    </row>
    <row r="234" spans="1:4" x14ac:dyDescent="0.25">
      <c r="A234" s="200">
        <f t="shared" si="12"/>
        <v>2098</v>
      </c>
      <c r="B234" s="201" t="s">
        <v>17</v>
      </c>
      <c r="C234" s="201" t="str">
        <f t="shared" si="10"/>
        <v>SPT2098</v>
      </c>
      <c r="D234" s="200">
        <v>4.2799999999999998E-2</v>
      </c>
    </row>
    <row r="235" spans="1:4" x14ac:dyDescent="0.25">
      <c r="A235" s="200">
        <f t="shared" si="12"/>
        <v>2098</v>
      </c>
      <c r="B235" s="201" t="s">
        <v>18</v>
      </c>
      <c r="C235" s="201" t="str">
        <f t="shared" si="10"/>
        <v>SHETL2098</v>
      </c>
      <c r="D235" s="200">
        <v>3.6200000000000003E-2</v>
      </c>
    </row>
    <row r="236" spans="1:4" x14ac:dyDescent="0.25">
      <c r="A236" s="200">
        <f t="shared" si="12"/>
        <v>2099</v>
      </c>
      <c r="B236" s="201" t="s">
        <v>16</v>
      </c>
      <c r="C236" s="201" t="str">
        <f t="shared" si="10"/>
        <v>NG2099</v>
      </c>
      <c r="D236" s="200">
        <v>4.2799999999999998E-2</v>
      </c>
    </row>
    <row r="237" spans="1:4" x14ac:dyDescent="0.25">
      <c r="A237" s="200">
        <f t="shared" si="12"/>
        <v>2099</v>
      </c>
      <c r="B237" s="201" t="s">
        <v>17</v>
      </c>
      <c r="C237" s="201" t="str">
        <f t="shared" si="10"/>
        <v>SPT2099</v>
      </c>
      <c r="D237" s="200">
        <v>4.2799999999999998E-2</v>
      </c>
    </row>
    <row r="238" spans="1:4" x14ac:dyDescent="0.25">
      <c r="A238" s="200">
        <f t="shared" si="12"/>
        <v>2099</v>
      </c>
      <c r="B238" s="201" t="s">
        <v>18</v>
      </c>
      <c r="C238" s="201" t="str">
        <f t="shared" si="10"/>
        <v>SHETL2099</v>
      </c>
      <c r="D238" s="200">
        <v>3.6200000000000003E-2</v>
      </c>
    </row>
    <row r="239" spans="1:4" x14ac:dyDescent="0.25">
      <c r="A239" s="200">
        <f t="shared" si="12"/>
        <v>2100</v>
      </c>
      <c r="B239" s="201" t="s">
        <v>16</v>
      </c>
      <c r="C239" s="201" t="str">
        <f t="shared" si="10"/>
        <v>NG2100</v>
      </c>
      <c r="D239" s="200">
        <v>4.2799999999999998E-2</v>
      </c>
    </row>
    <row r="240" spans="1:4" x14ac:dyDescent="0.25">
      <c r="A240" s="200">
        <f t="shared" si="12"/>
        <v>2100</v>
      </c>
      <c r="B240" s="201" t="s">
        <v>17</v>
      </c>
      <c r="C240" s="201" t="str">
        <f t="shared" si="10"/>
        <v>SPT2100</v>
      </c>
      <c r="D240" s="200">
        <v>4.2799999999999998E-2</v>
      </c>
    </row>
    <row r="241" spans="1:4" x14ac:dyDescent="0.25">
      <c r="A241" s="200">
        <f t="shared" si="12"/>
        <v>2100</v>
      </c>
      <c r="B241" s="201" t="s">
        <v>18</v>
      </c>
      <c r="C241" s="201" t="str">
        <f t="shared" si="10"/>
        <v>SHETL2100</v>
      </c>
      <c r="D241" s="200">
        <v>3.6200000000000003E-2</v>
      </c>
    </row>
    <row r="242" spans="1:4" x14ac:dyDescent="0.25">
      <c r="A242" s="200">
        <f t="shared" si="12"/>
        <v>2101</v>
      </c>
      <c r="B242" s="201" t="s">
        <v>16</v>
      </c>
      <c r="C242" s="201" t="str">
        <f t="shared" si="10"/>
        <v>NG2101</v>
      </c>
      <c r="D242" s="200">
        <v>4.2799999999999998E-2</v>
      </c>
    </row>
    <row r="243" spans="1:4" x14ac:dyDescent="0.25">
      <c r="A243" s="200">
        <f t="shared" si="12"/>
        <v>2101</v>
      </c>
      <c r="B243" s="201" t="s">
        <v>17</v>
      </c>
      <c r="C243" s="201" t="str">
        <f t="shared" si="10"/>
        <v>SPT2101</v>
      </c>
      <c r="D243" s="200">
        <v>4.2799999999999998E-2</v>
      </c>
    </row>
    <row r="244" spans="1:4" x14ac:dyDescent="0.25">
      <c r="A244" s="200">
        <f t="shared" si="12"/>
        <v>2101</v>
      </c>
      <c r="B244" s="201" t="s">
        <v>18</v>
      </c>
      <c r="C244" s="201" t="str">
        <f t="shared" si="10"/>
        <v>SHETL2101</v>
      </c>
      <c r="D244" s="200">
        <v>3.6200000000000003E-2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1234-9318-4C3C-BD24-DB3E65C40FA9}">
  <sheetPr codeName="Sheet8"/>
  <dimension ref="A1:AR41"/>
  <sheetViews>
    <sheetView zoomScale="80" zoomScaleNormal="80" workbookViewId="0">
      <selection activeCell="A18" sqref="A18"/>
    </sheetView>
  </sheetViews>
  <sheetFormatPr defaultColWidth="15.54296875" defaultRowHeight="12.5" x14ac:dyDescent="0.25"/>
  <cols>
    <col min="1" max="1" width="31.6328125" customWidth="1"/>
    <col min="2" max="2" width="14.54296875" bestFit="1" customWidth="1"/>
    <col min="3" max="3" width="15" bestFit="1" customWidth="1"/>
    <col min="4" max="4" width="14.54296875" bestFit="1" customWidth="1"/>
    <col min="5" max="5" width="15" customWidth="1"/>
    <col min="6" max="34" width="14.54296875" bestFit="1" customWidth="1"/>
    <col min="35" max="44" width="15.54296875" bestFit="1" customWidth="1"/>
  </cols>
  <sheetData>
    <row r="1" spans="1:44" x14ac:dyDescent="0.25">
      <c r="A1" s="5" t="s">
        <v>73</v>
      </c>
    </row>
    <row r="2" spans="1:44" s="4" customFormat="1" ht="13" x14ac:dyDescent="0.3">
      <c r="B2" s="15">
        <f>YEAR('User Input'!B13)+(MONTH('User Input'!B13)&gt;=4)-1</f>
        <v>2024</v>
      </c>
      <c r="C2" s="4">
        <f>B2+1</f>
        <v>2025</v>
      </c>
      <c r="D2" s="4">
        <f t="shared" ref="D2:AR2" si="0">C2+1</f>
        <v>2026</v>
      </c>
      <c r="E2" s="4">
        <f t="shared" si="0"/>
        <v>2027</v>
      </c>
      <c r="F2" s="4">
        <f t="shared" si="0"/>
        <v>2028</v>
      </c>
      <c r="G2" s="4">
        <f t="shared" si="0"/>
        <v>2029</v>
      </c>
      <c r="H2" s="4">
        <f t="shared" si="0"/>
        <v>2030</v>
      </c>
      <c r="I2" s="4">
        <f t="shared" si="0"/>
        <v>2031</v>
      </c>
      <c r="J2" s="4">
        <f t="shared" si="0"/>
        <v>2032</v>
      </c>
      <c r="K2" s="4">
        <f t="shared" si="0"/>
        <v>2033</v>
      </c>
      <c r="L2" s="4">
        <f t="shared" si="0"/>
        <v>2034</v>
      </c>
      <c r="M2" s="4">
        <f t="shared" si="0"/>
        <v>2035</v>
      </c>
      <c r="N2" s="4">
        <f t="shared" si="0"/>
        <v>2036</v>
      </c>
      <c r="O2" s="4">
        <f t="shared" si="0"/>
        <v>2037</v>
      </c>
      <c r="P2" s="4">
        <f t="shared" si="0"/>
        <v>2038</v>
      </c>
      <c r="Q2" s="4">
        <f t="shared" si="0"/>
        <v>2039</v>
      </c>
      <c r="R2" s="4">
        <f t="shared" si="0"/>
        <v>2040</v>
      </c>
      <c r="S2" s="4">
        <f t="shared" si="0"/>
        <v>2041</v>
      </c>
      <c r="T2" s="4">
        <f t="shared" si="0"/>
        <v>2042</v>
      </c>
      <c r="U2" s="4">
        <f t="shared" si="0"/>
        <v>2043</v>
      </c>
      <c r="V2" s="4">
        <f t="shared" si="0"/>
        <v>2044</v>
      </c>
      <c r="W2" s="4">
        <f t="shared" si="0"/>
        <v>2045</v>
      </c>
      <c r="X2" s="4">
        <f t="shared" si="0"/>
        <v>2046</v>
      </c>
      <c r="Y2" s="4">
        <f t="shared" si="0"/>
        <v>2047</v>
      </c>
      <c r="Z2" s="4">
        <f t="shared" si="0"/>
        <v>2048</v>
      </c>
      <c r="AA2" s="4">
        <f t="shared" si="0"/>
        <v>2049</v>
      </c>
      <c r="AB2" s="4">
        <f t="shared" si="0"/>
        <v>2050</v>
      </c>
      <c r="AC2" s="4">
        <f t="shared" si="0"/>
        <v>2051</v>
      </c>
      <c r="AD2" s="4">
        <f t="shared" si="0"/>
        <v>2052</v>
      </c>
      <c r="AE2" s="4">
        <f t="shared" si="0"/>
        <v>2053</v>
      </c>
      <c r="AF2" s="4">
        <f t="shared" si="0"/>
        <v>2054</v>
      </c>
      <c r="AG2" s="4">
        <f t="shared" si="0"/>
        <v>2055</v>
      </c>
      <c r="AH2" s="4">
        <f t="shared" si="0"/>
        <v>2056</v>
      </c>
      <c r="AI2" s="4">
        <f t="shared" si="0"/>
        <v>2057</v>
      </c>
      <c r="AJ2" s="4">
        <f t="shared" si="0"/>
        <v>2058</v>
      </c>
      <c r="AK2" s="4">
        <f t="shared" si="0"/>
        <v>2059</v>
      </c>
      <c r="AL2" s="4">
        <f t="shared" si="0"/>
        <v>2060</v>
      </c>
      <c r="AM2" s="4">
        <f t="shared" si="0"/>
        <v>2061</v>
      </c>
      <c r="AN2" s="4">
        <f t="shared" si="0"/>
        <v>2062</v>
      </c>
      <c r="AO2" s="4">
        <f t="shared" si="0"/>
        <v>2063</v>
      </c>
      <c r="AP2" s="4">
        <f t="shared" si="0"/>
        <v>2064</v>
      </c>
      <c r="AQ2" s="4">
        <f t="shared" si="0"/>
        <v>2065</v>
      </c>
      <c r="AR2" s="4">
        <f t="shared" si="0"/>
        <v>2066</v>
      </c>
    </row>
    <row r="3" spans="1:44" x14ac:dyDescent="0.25">
      <c r="A3" t="str">
        <f>'User Input'!$A$18</f>
        <v>Type 1 (Non Electronic)</v>
      </c>
      <c r="B3" s="6">
        <f>'GAV Transformation'!C39</f>
        <v>13000000</v>
      </c>
      <c r="C3" s="13">
        <f>B3*VLOOKUP(C2,Data!$F:$G,2,FALSE)</f>
        <v>13843700</v>
      </c>
      <c r="D3" s="13">
        <f>C3*VLOOKUP(D2,Data!$F:$G,2,FALSE)</f>
        <v>14742156.129999999</v>
      </c>
      <c r="E3" s="13">
        <f>D3*VLOOKUP(E2,Data!$F:$G,2,FALSE)</f>
        <v>15698922.062836999</v>
      </c>
      <c r="F3" s="13">
        <f>E3*VLOOKUP(F2,Data!$F:$G,2,FALSE)</f>
        <v>16717782.10471512</v>
      </c>
      <c r="G3" s="13">
        <f>F3*VLOOKUP(G2,Data!$F:$G,2,FALSE)</f>
        <v>17802766.163311131</v>
      </c>
      <c r="H3" s="13">
        <f>G3*VLOOKUP(H2,Data!$F:$G,2,FALSE)</f>
        <v>18958165.687310021</v>
      </c>
      <c r="I3" s="13">
        <f>H3*VLOOKUP(I2,Data!$F:$G,2,FALSE)</f>
        <v>20188550.64041644</v>
      </c>
      <c r="J3" s="13">
        <f>I3*VLOOKUP(J2,Data!$F:$G,2,FALSE)</f>
        <v>21498787.576979466</v>
      </c>
      <c r="K3" s="13">
        <f>J3*VLOOKUP(K2,Data!$F:$G,2,FALSE)</f>
        <v>22894058.890725434</v>
      </c>
      <c r="L3" s="13">
        <f>K3*VLOOKUP(L2,Data!$F:$G,2,FALSE)</f>
        <v>24379883.312733512</v>
      </c>
      <c r="M3" s="13">
        <f>L3*VLOOKUP(M2,Data!$F:$G,2,FALSE)</f>
        <v>25962137.739729915</v>
      </c>
      <c r="N3" s="13">
        <f>M3*VLOOKUP(N2,Data!$F:$G,2,FALSE)</f>
        <v>27647080.479038384</v>
      </c>
      <c r="O3" s="13">
        <f>N3*VLOOKUP(O2,Data!$F:$G,2,FALSE)</f>
        <v>29441376.002127975</v>
      </c>
      <c r="P3" s="13">
        <f>O3*VLOOKUP(P2,Data!$F:$G,2,FALSE)</f>
        <v>31352121.30466608</v>
      </c>
      <c r="Q3" s="13">
        <f>P3*VLOOKUP(Q2,Data!$F:$G,2,FALSE)</f>
        <v>33386873.977338906</v>
      </c>
      <c r="R3" s="13">
        <f>Q3*VLOOKUP(R2,Data!$F:$G,2,FALSE)</f>
        <v>35553682.098468199</v>
      </c>
      <c r="S3" s="13">
        <f>R3*VLOOKUP(S2,Data!$F:$G,2,FALSE)</f>
        <v>37861116.066658787</v>
      </c>
      <c r="T3" s="13">
        <f>S3*VLOOKUP(T2,Data!$F:$G,2,FALSE)</f>
        <v>40318302.49938494</v>
      </c>
      <c r="U3" s="13">
        <f>T3*VLOOKUP(U2,Data!$F:$G,2,FALSE)</f>
        <v>42934960.331595019</v>
      </c>
      <c r="V3" s="13">
        <f>U3*VLOOKUP(V2,Data!$F:$G,2,FALSE)</f>
        <v>45721439.257115535</v>
      </c>
      <c r="W3" s="13">
        <f>V3*VLOOKUP(W2,Data!$F:$G,2,FALSE)</f>
        <v>48688760.664902329</v>
      </c>
      <c r="X3" s="13">
        <f>W3*VLOOKUP(X2,Data!$F:$G,2,FALSE)</f>
        <v>51848661.232054487</v>
      </c>
      <c r="Y3" s="13">
        <f>X3*VLOOKUP(Y2,Data!$F:$G,2,FALSE)</f>
        <v>55213639.34601482</v>
      </c>
      <c r="Z3" s="13">
        <f>Y3*VLOOKUP(Z2,Data!$F:$G,2,FALSE)</f>
        <v>58797004.539571181</v>
      </c>
      <c r="AA3" s="13">
        <f>Z3*VLOOKUP(AA2,Data!$F:$G,2,FALSE)</f>
        <v>62612930.134189345</v>
      </c>
      <c r="AB3" s="13">
        <f>AA3*VLOOKUP(AB2,Data!$F:$G,2,FALSE)</f>
        <v>66676509.29989823</v>
      </c>
      <c r="AC3" s="13">
        <f>AB3*VLOOKUP(AC2,Data!$F:$G,2,FALSE)</f>
        <v>71003814.753461629</v>
      </c>
      <c r="AD3" s="13">
        <f>AC3*VLOOKUP(AD2,Data!$F:$G,2,FALSE)</f>
        <v>75611962.330961287</v>
      </c>
      <c r="AE3" s="13">
        <f>AD3*VLOOKUP(AE2,Data!$F:$G,2,FALSE)</f>
        <v>80519178.686240673</v>
      </c>
      <c r="AF3" s="13">
        <f>AE3*VLOOKUP(AF2,Data!$F:$G,2,FALSE)</f>
        <v>85744873.382977694</v>
      </c>
      <c r="AG3" s="13">
        <f>AF3*VLOOKUP(AG2,Data!$F:$G,2,FALSE)</f>
        <v>91309715.665532947</v>
      </c>
      <c r="AH3" s="13">
        <f>AG3*VLOOKUP(AH2,Data!$F:$G,2,FALSE)</f>
        <v>97235716.212226033</v>
      </c>
      <c r="AI3" s="13">
        <f>AH3*VLOOKUP(AI2,Data!$F:$G,2,FALSE)</f>
        <v>103546314.19439951</v>
      </c>
      <c r="AJ3" s="13">
        <f>AI3*VLOOKUP(AJ2,Data!$F:$G,2,FALSE)</f>
        <v>110266469.98561603</v>
      </c>
      <c r="AK3" s="13">
        <f>AJ3*VLOOKUP(AK2,Data!$F:$G,2,FALSE)</f>
        <v>117422763.8876825</v>
      </c>
      <c r="AL3" s="13">
        <f>AK3*VLOOKUP(AL2,Data!$F:$G,2,FALSE)</f>
        <v>125043501.26399308</v>
      </c>
      <c r="AM3" s="13">
        <f>AL3*VLOOKUP(AM2,Data!$F:$G,2,FALSE)</f>
        <v>133158824.49602623</v>
      </c>
      <c r="AN3" s="13">
        <f>AM3*VLOOKUP(AN2,Data!$F:$G,2,FALSE)</f>
        <v>141800832.20581833</v>
      </c>
      <c r="AO3" s="13">
        <f>AN3*VLOOKUP(AO2,Data!$F:$G,2,FALSE)</f>
        <v>151003706.21597594</v>
      </c>
      <c r="AP3" s="13">
        <f>AO3*VLOOKUP(AP2,Data!$F:$G,2,FALSE)</f>
        <v>160803846.74939278</v>
      </c>
      <c r="AQ3" s="13">
        <f>AP3*VLOOKUP(AQ2,Data!$F:$G,2,FALSE)</f>
        <v>171240016.40342838</v>
      </c>
      <c r="AR3" s="13">
        <f>AQ3*VLOOKUP(AR2,Data!$F:$G,2,FALSE)</f>
        <v>182353493.46801087</v>
      </c>
    </row>
    <row r="4" spans="1:44" x14ac:dyDescent="0.25">
      <c r="A4" t="str">
        <f>'User Input'!$A$19</f>
        <v>Type 2 (Electronic)</v>
      </c>
      <c r="B4" s="6">
        <f>'GAV Transformation'!C40</f>
        <v>0</v>
      </c>
      <c r="C4" s="13">
        <f>B4*VLOOKUP(C2,Data!$F:$G,2,FALSE)</f>
        <v>0</v>
      </c>
      <c r="D4" s="13">
        <f>C4*VLOOKUP(D2,Data!$F:$G,2,FALSE)</f>
        <v>0</v>
      </c>
      <c r="E4" s="13">
        <f>D4*VLOOKUP(E2,Data!$F:$G,2,FALSE)</f>
        <v>0</v>
      </c>
      <c r="F4" s="13">
        <f>E4*VLOOKUP(F2,Data!$F:$G,2,FALSE)</f>
        <v>0</v>
      </c>
      <c r="G4" s="13">
        <f>F4*VLOOKUP(G2,Data!$F:$G,2,FALSE)</f>
        <v>0</v>
      </c>
      <c r="H4" s="13">
        <f>G4*VLOOKUP(H2,Data!$F:$G,2,FALSE)</f>
        <v>0</v>
      </c>
      <c r="I4" s="13">
        <f>H4*VLOOKUP(I2,Data!$F:$G,2,FALSE)</f>
        <v>0</v>
      </c>
      <c r="J4" s="13">
        <f>I4*VLOOKUP(J2,Data!$F:$G,2,FALSE)</f>
        <v>0</v>
      </c>
      <c r="K4" s="13">
        <f>J4*VLOOKUP(K2,Data!$F:$G,2,FALSE)</f>
        <v>0</v>
      </c>
      <c r="L4" s="13">
        <f>K4*VLOOKUP(L2,Data!$F:$G,2,FALSE)</f>
        <v>0</v>
      </c>
      <c r="M4" s="13">
        <f>L4*VLOOKUP(M2,Data!$F:$G,2,FALSE)</f>
        <v>0</v>
      </c>
      <c r="N4" s="13">
        <f>M4*VLOOKUP(N2,Data!$F:$G,2,FALSE)</f>
        <v>0</v>
      </c>
      <c r="O4" s="13">
        <f>N4*VLOOKUP(O2,Data!$F:$G,2,FALSE)</f>
        <v>0</v>
      </c>
      <c r="P4" s="13">
        <f>O4*VLOOKUP(P2,Data!$F:$G,2,FALSE)</f>
        <v>0</v>
      </c>
      <c r="Q4" s="13">
        <f>P4*VLOOKUP(Q2,Data!$F:$G,2,FALSE)</f>
        <v>0</v>
      </c>
      <c r="R4" s="13">
        <f>Q4*VLOOKUP(R2,Data!$F:$G,2,FALSE)</f>
        <v>0</v>
      </c>
      <c r="S4" s="13">
        <f>R4*VLOOKUP(S2,Data!$F:$G,2,FALSE)</f>
        <v>0</v>
      </c>
      <c r="T4" s="13">
        <f>S4*VLOOKUP(T2,Data!$F:$G,2,FALSE)</f>
        <v>0</v>
      </c>
      <c r="U4" s="13">
        <f>T4*VLOOKUP(U2,Data!$F:$G,2,FALSE)</f>
        <v>0</v>
      </c>
      <c r="V4" s="13">
        <f>U4*VLOOKUP(V2,Data!$F:$G,2,FALSE)</f>
        <v>0</v>
      </c>
      <c r="W4" s="13">
        <f>V4*VLOOKUP(W2,Data!$F:$G,2,FALSE)</f>
        <v>0</v>
      </c>
      <c r="X4" s="13">
        <f>W4*VLOOKUP(X2,Data!$F:$G,2,FALSE)</f>
        <v>0</v>
      </c>
      <c r="Y4" s="13">
        <f>X4*VLOOKUP(Y2,Data!$F:$G,2,FALSE)</f>
        <v>0</v>
      </c>
      <c r="Z4" s="13">
        <f>Y4*VLOOKUP(Z2,Data!$F:$G,2,FALSE)</f>
        <v>0</v>
      </c>
      <c r="AA4" s="13">
        <f>Z4*VLOOKUP(AA2,Data!$F:$G,2,FALSE)</f>
        <v>0</v>
      </c>
      <c r="AB4" s="13">
        <f>AA4*VLOOKUP(AB2,Data!$F:$G,2,FALSE)</f>
        <v>0</v>
      </c>
      <c r="AC4" s="13">
        <f>AB4*VLOOKUP(AC2,Data!$F:$G,2,FALSE)</f>
        <v>0</v>
      </c>
      <c r="AD4" s="13">
        <f>AC4*VLOOKUP(AD2,Data!$F:$G,2,FALSE)</f>
        <v>0</v>
      </c>
      <c r="AE4" s="13">
        <f>AD4*VLOOKUP(AE2,Data!$F:$G,2,FALSE)</f>
        <v>0</v>
      </c>
      <c r="AF4" s="13">
        <f>AE4*VLOOKUP(AF2,Data!$F:$G,2,FALSE)</f>
        <v>0</v>
      </c>
      <c r="AG4" s="13">
        <f>AF4*VLOOKUP(AG2,Data!$F:$G,2,FALSE)</f>
        <v>0</v>
      </c>
      <c r="AH4" s="13">
        <f>AG4*VLOOKUP(AH2,Data!$F:$G,2,FALSE)</f>
        <v>0</v>
      </c>
      <c r="AI4" s="13">
        <f>AH4*VLOOKUP(AI2,Data!$F:$G,2,FALSE)</f>
        <v>0</v>
      </c>
      <c r="AJ4" s="13">
        <f>AI4*VLOOKUP(AJ2,Data!$F:$G,2,FALSE)</f>
        <v>0</v>
      </c>
      <c r="AK4" s="13">
        <f>AJ4*VLOOKUP(AK2,Data!$F:$G,2,FALSE)</f>
        <v>0</v>
      </c>
      <c r="AL4" s="13">
        <f>AK4*VLOOKUP(AL2,Data!$F:$G,2,FALSE)</f>
        <v>0</v>
      </c>
      <c r="AM4" s="13">
        <f>AL4*VLOOKUP(AM2,Data!$F:$G,2,FALSE)</f>
        <v>0</v>
      </c>
      <c r="AN4" s="13">
        <f>AM4*VLOOKUP(AN2,Data!$F:$G,2,FALSE)</f>
        <v>0</v>
      </c>
      <c r="AO4" s="13">
        <f>AN4*VLOOKUP(AO2,Data!$F:$G,2,FALSE)</f>
        <v>0</v>
      </c>
      <c r="AP4" s="13">
        <f>AO4*VLOOKUP(AP2,Data!$F:$G,2,FALSE)</f>
        <v>0</v>
      </c>
      <c r="AQ4" s="13">
        <f>AP4*VLOOKUP(AQ2,Data!$F:$G,2,FALSE)</f>
        <v>0</v>
      </c>
      <c r="AR4" s="13">
        <f>AQ4*VLOOKUP(AR2,Data!$F:$G,2,FALSE)</f>
        <v>0</v>
      </c>
    </row>
    <row r="5" spans="1:44" x14ac:dyDescent="0.25">
      <c r="B5" s="6"/>
    </row>
    <row r="6" spans="1:44" x14ac:dyDescent="0.25">
      <c r="B6" s="6"/>
    </row>
    <row r="7" spans="1:44" x14ac:dyDescent="0.25">
      <c r="A7" s="5" t="s">
        <v>56</v>
      </c>
      <c r="B7" s="6"/>
    </row>
    <row r="8" spans="1:44" ht="13" x14ac:dyDescent="0.3">
      <c r="A8" s="4"/>
      <c r="B8" s="15">
        <f>B2</f>
        <v>2024</v>
      </c>
      <c r="C8" s="4">
        <f>B8+1</f>
        <v>2025</v>
      </c>
      <c r="D8" s="4">
        <f t="shared" ref="D8" si="1">C8+1</f>
        <v>2026</v>
      </c>
      <c r="E8" s="4">
        <f t="shared" ref="E8" si="2">D8+1</f>
        <v>2027</v>
      </c>
      <c r="F8" s="4">
        <f t="shared" ref="F8" si="3">E8+1</f>
        <v>2028</v>
      </c>
      <c r="G8" s="4">
        <f t="shared" ref="G8" si="4">F8+1</f>
        <v>2029</v>
      </c>
      <c r="H8" s="4">
        <f t="shared" ref="H8" si="5">G8+1</f>
        <v>2030</v>
      </c>
      <c r="I8" s="4">
        <f t="shared" ref="I8" si="6">H8+1</f>
        <v>2031</v>
      </c>
      <c r="J8" s="4">
        <f t="shared" ref="J8" si="7">I8+1</f>
        <v>2032</v>
      </c>
      <c r="K8" s="4">
        <f t="shared" ref="K8" si="8">J8+1</f>
        <v>2033</v>
      </c>
      <c r="L8" s="4">
        <f t="shared" ref="L8" si="9">K8+1</f>
        <v>2034</v>
      </c>
      <c r="M8" s="4">
        <f t="shared" ref="M8" si="10">L8+1</f>
        <v>2035</v>
      </c>
      <c r="N8" s="4">
        <f t="shared" ref="N8" si="11">M8+1</f>
        <v>2036</v>
      </c>
      <c r="O8" s="4">
        <f t="shared" ref="O8" si="12">N8+1</f>
        <v>2037</v>
      </c>
      <c r="P8" s="4">
        <f t="shared" ref="P8" si="13">O8+1</f>
        <v>2038</v>
      </c>
      <c r="Q8" s="4">
        <f t="shared" ref="Q8" si="14">P8+1</f>
        <v>2039</v>
      </c>
      <c r="R8" s="4">
        <f t="shared" ref="R8" si="15">Q8+1</f>
        <v>2040</v>
      </c>
      <c r="S8" s="4">
        <f t="shared" ref="S8" si="16">R8+1</f>
        <v>2041</v>
      </c>
      <c r="T8" s="4">
        <f t="shared" ref="T8" si="17">S8+1</f>
        <v>2042</v>
      </c>
      <c r="U8" s="4">
        <f t="shared" ref="U8" si="18">T8+1</f>
        <v>2043</v>
      </c>
      <c r="V8" s="4">
        <f t="shared" ref="V8" si="19">U8+1</f>
        <v>2044</v>
      </c>
      <c r="W8" s="4">
        <f t="shared" ref="W8" si="20">V8+1</f>
        <v>2045</v>
      </c>
      <c r="X8" s="4">
        <f t="shared" ref="X8" si="21">W8+1</f>
        <v>2046</v>
      </c>
      <c r="Y8" s="4">
        <f t="shared" ref="Y8" si="22">X8+1</f>
        <v>2047</v>
      </c>
      <c r="Z8" s="4">
        <f t="shared" ref="Z8" si="23">Y8+1</f>
        <v>2048</v>
      </c>
      <c r="AA8" s="4">
        <f t="shared" ref="AA8" si="24">Z8+1</f>
        <v>2049</v>
      </c>
      <c r="AB8" s="4">
        <f t="shared" ref="AB8" si="25">AA8+1</f>
        <v>2050</v>
      </c>
      <c r="AC8" s="4">
        <f t="shared" ref="AC8" si="26">AB8+1</f>
        <v>2051</v>
      </c>
      <c r="AD8" s="4">
        <f t="shared" ref="AD8" si="27">AC8+1</f>
        <v>2052</v>
      </c>
      <c r="AE8" s="4">
        <f t="shared" ref="AE8" si="28">AD8+1</f>
        <v>2053</v>
      </c>
      <c r="AF8" s="4">
        <f t="shared" ref="AF8" si="29">AE8+1</f>
        <v>2054</v>
      </c>
      <c r="AG8" s="4">
        <f t="shared" ref="AG8" si="30">AF8+1</f>
        <v>2055</v>
      </c>
      <c r="AH8" s="4">
        <f t="shared" ref="AH8" si="31">AG8+1</f>
        <v>2056</v>
      </c>
      <c r="AI8" s="4">
        <f t="shared" ref="AI8" si="32">AH8+1</f>
        <v>2057</v>
      </c>
      <c r="AJ8" s="4">
        <f t="shared" ref="AJ8" si="33">AI8+1</f>
        <v>2058</v>
      </c>
      <c r="AK8" s="4">
        <f t="shared" ref="AK8" si="34">AJ8+1</f>
        <v>2059</v>
      </c>
      <c r="AL8" s="4">
        <f t="shared" ref="AL8" si="35">AK8+1</f>
        <v>2060</v>
      </c>
      <c r="AM8" s="4">
        <f t="shared" ref="AM8" si="36">AL8+1</f>
        <v>2061</v>
      </c>
      <c r="AN8" s="4">
        <f t="shared" ref="AN8" si="37">AM8+1</f>
        <v>2062</v>
      </c>
      <c r="AO8" s="4">
        <f t="shared" ref="AO8" si="38">AN8+1</f>
        <v>2063</v>
      </c>
      <c r="AP8" s="4">
        <f t="shared" ref="AP8" si="39">AO8+1</f>
        <v>2064</v>
      </c>
      <c r="AQ8" s="4">
        <f t="shared" ref="AQ8" si="40">AP8+1</f>
        <v>2065</v>
      </c>
      <c r="AR8" s="4">
        <f t="shared" ref="AR8" si="41">AQ8+1</f>
        <v>2066</v>
      </c>
    </row>
    <row r="9" spans="1:44" x14ac:dyDescent="0.25">
      <c r="A9" t="str">
        <f>'User Input'!$A$18</f>
        <v>Type 1 (Non Electronic)</v>
      </c>
      <c r="B9" s="6">
        <f>'GAV Transformation'!C32</f>
        <v>12264150.943396226</v>
      </c>
      <c r="C9" s="13">
        <f>B9*VLOOKUP(C8,Data!$F:$G,2,FALSE)</f>
        <v>13060094.339622641</v>
      </c>
      <c r="D9" s="13">
        <f>C9*VLOOKUP(D8,Data!$F:$G,2,FALSE)</f>
        <v>13907694.46226415</v>
      </c>
      <c r="E9" s="13">
        <f>D9*VLOOKUP(E8,Data!$F:$G,2,FALSE)</f>
        <v>14810303.832865093</v>
      </c>
      <c r="F9" s="13">
        <f>E9*VLOOKUP(F8,Data!$F:$G,2,FALSE)</f>
        <v>15771492.551618036</v>
      </c>
      <c r="G9" s="13">
        <f>F9*VLOOKUP(G8,Data!$F:$G,2,FALSE)</f>
        <v>16795062.418218046</v>
      </c>
      <c r="H9" s="13">
        <f>G9*VLOOKUP(H8,Data!$F:$G,2,FALSE)</f>
        <v>17885061.969160397</v>
      </c>
      <c r="I9" s="13">
        <f>H9*VLOOKUP(I8,Data!$F:$G,2,FALSE)</f>
        <v>19045802.490958907</v>
      </c>
      <c r="J9" s="13">
        <f>I9*VLOOKUP(J8,Data!$F:$G,2,FALSE)</f>
        <v>20281875.072622139</v>
      </c>
      <c r="K9" s="13">
        <f>J9*VLOOKUP(K8,Data!$F:$G,2,FALSE)</f>
        <v>21598168.764835317</v>
      </c>
      <c r="L9" s="13">
        <f>K9*VLOOKUP(L8,Data!$F:$G,2,FALSE)</f>
        <v>22999889.91767313</v>
      </c>
      <c r="M9" s="13">
        <f>L9*VLOOKUP(M8,Data!$F:$G,2,FALSE)</f>
        <v>24492582.773330115</v>
      </c>
      <c r="N9" s="13">
        <f>M9*VLOOKUP(N8,Data!$F:$G,2,FALSE)</f>
        <v>26082151.395319238</v>
      </c>
      <c r="O9" s="13">
        <f>N9*VLOOKUP(O8,Data!$F:$G,2,FALSE)</f>
        <v>27774883.020875454</v>
      </c>
      <c r="P9" s="13">
        <f>O9*VLOOKUP(P8,Data!$F:$G,2,FALSE)</f>
        <v>29577472.928930271</v>
      </c>
      <c r="Q9" s="13">
        <f>P9*VLOOKUP(Q8,Data!$F:$G,2,FALSE)</f>
        <v>31497050.922017846</v>
      </c>
      <c r="R9" s="13">
        <f>Q9*VLOOKUP(R8,Data!$F:$G,2,FALSE)</f>
        <v>33541209.526856802</v>
      </c>
      <c r="S9" s="13">
        <f>R9*VLOOKUP(S8,Data!$F:$G,2,FALSE)</f>
        <v>35718034.025149807</v>
      </c>
      <c r="T9" s="13">
        <f>S9*VLOOKUP(T8,Data!$F:$G,2,FALSE)</f>
        <v>38036134.433382027</v>
      </c>
      <c r="U9" s="13">
        <f>T9*VLOOKUP(U8,Data!$F:$G,2,FALSE)</f>
        <v>40504679.558108516</v>
      </c>
      <c r="V9" s="13">
        <f>U9*VLOOKUP(V8,Data!$F:$G,2,FALSE)</f>
        <v>43133433.261429757</v>
      </c>
      <c r="W9" s="13">
        <f>V9*VLOOKUP(W8,Data!$F:$G,2,FALSE)</f>
        <v>45932793.080096543</v>
      </c>
      <c r="X9" s="13">
        <f>W9*VLOOKUP(X8,Data!$F:$G,2,FALSE)</f>
        <v>48913831.350994803</v>
      </c>
      <c r="Y9" s="13">
        <f>X9*VLOOKUP(Y8,Data!$F:$G,2,FALSE)</f>
        <v>52088339.005674362</v>
      </c>
      <c r="Z9" s="13">
        <f>Y9*VLOOKUP(Z8,Data!$F:$G,2,FALSE)</f>
        <v>55468872.207142629</v>
      </c>
      <c r="AA9" s="13">
        <f>Z9*VLOOKUP(AA8,Data!$F:$G,2,FALSE)</f>
        <v>59068802.013386182</v>
      </c>
      <c r="AB9" s="13">
        <f>AA9*VLOOKUP(AB8,Data!$F:$G,2,FALSE)</f>
        <v>62902367.264054947</v>
      </c>
      <c r="AC9" s="13">
        <f>AB9*VLOOKUP(AC8,Data!$F:$G,2,FALSE)</f>
        <v>66984730.899492107</v>
      </c>
      <c r="AD9" s="13">
        <f>AC9*VLOOKUP(AD8,Data!$F:$G,2,FALSE)</f>
        <v>71332039.93486914</v>
      </c>
      <c r="AE9" s="13">
        <f>AD9*VLOOKUP(AE8,Data!$F:$G,2,FALSE)</f>
        <v>75961489.326642141</v>
      </c>
      <c r="AF9" s="13">
        <f>AE9*VLOOKUP(AF8,Data!$F:$G,2,FALSE)</f>
        <v>80891389.983941212</v>
      </c>
      <c r="AG9" s="13">
        <f>AF9*VLOOKUP(AG8,Data!$F:$G,2,FALSE)</f>
        <v>86141241.193898991</v>
      </c>
      <c r="AH9" s="13">
        <f>AG9*VLOOKUP(AH8,Data!$F:$G,2,FALSE)</f>
        <v>91731807.747383028</v>
      </c>
      <c r="AI9" s="13">
        <f>AH9*VLOOKUP(AI8,Data!$F:$G,2,FALSE)</f>
        <v>97685202.07018818</v>
      </c>
      <c r="AJ9" s="13">
        <f>AI9*VLOOKUP(AJ8,Data!$F:$G,2,FALSE)</f>
        <v>104024971.68454339</v>
      </c>
      <c r="AK9" s="13">
        <f>AJ9*VLOOKUP(AK8,Data!$F:$G,2,FALSE)</f>
        <v>110776192.34687024</v>
      </c>
      <c r="AL9" s="13">
        <f>AK9*VLOOKUP(AL8,Data!$F:$G,2,FALSE)</f>
        <v>117965567.23018211</v>
      </c>
      <c r="AM9" s="13">
        <f>AL9*VLOOKUP(AM8,Data!$F:$G,2,FALSE)</f>
        <v>125621532.54342093</v>
      </c>
      <c r="AN9" s="13">
        <f>AM9*VLOOKUP(AN8,Data!$F:$G,2,FALSE)</f>
        <v>133774370.00548893</v>
      </c>
      <c r="AO9" s="13">
        <f>AN9*VLOOKUP(AO8,Data!$F:$G,2,FALSE)</f>
        <v>142456326.61884516</v>
      </c>
      <c r="AP9" s="13">
        <f>AO9*VLOOKUP(AP8,Data!$F:$G,2,FALSE)</f>
        <v>151701742.21640822</v>
      </c>
      <c r="AQ9" s="13">
        <f>AP9*VLOOKUP(AQ8,Data!$F:$G,2,FALSE)</f>
        <v>161547185.28625312</v>
      </c>
      <c r="AR9" s="13">
        <f>AQ9*VLOOKUP(AR8,Data!$F:$G,2,FALSE)</f>
        <v>172031597.61133096</v>
      </c>
    </row>
    <row r="10" spans="1:44" x14ac:dyDescent="0.25">
      <c r="A10" t="str">
        <f>'User Input'!$A$19</f>
        <v>Type 2 (Electronic)</v>
      </c>
      <c r="B10" s="6">
        <f>'GAV Transformation'!C33</f>
        <v>0</v>
      </c>
      <c r="C10" s="13">
        <f>B10*VLOOKUP(C8,Data!$F:$G,2,FALSE)</f>
        <v>0</v>
      </c>
      <c r="D10" s="13">
        <f>C10*VLOOKUP(D8,Data!$F:$G,2,FALSE)</f>
        <v>0</v>
      </c>
      <c r="E10" s="13">
        <f>D10*VLOOKUP(E8,Data!$F:$G,2,FALSE)</f>
        <v>0</v>
      </c>
      <c r="F10" s="13">
        <f>E10*VLOOKUP(F8,Data!$F:$G,2,FALSE)</f>
        <v>0</v>
      </c>
      <c r="G10" s="13">
        <f>F10*VLOOKUP(G8,Data!$F:$G,2,FALSE)</f>
        <v>0</v>
      </c>
      <c r="H10" s="13">
        <f>G10*VLOOKUP(H8,Data!$F:$G,2,FALSE)</f>
        <v>0</v>
      </c>
      <c r="I10" s="13">
        <f>H10*VLOOKUP(I8,Data!$F:$G,2,FALSE)</f>
        <v>0</v>
      </c>
      <c r="J10" s="13">
        <f>I10*VLOOKUP(J8,Data!$F:$G,2,FALSE)</f>
        <v>0</v>
      </c>
      <c r="K10" s="13">
        <f>J10*VLOOKUP(K8,Data!$F:$G,2,FALSE)</f>
        <v>0</v>
      </c>
      <c r="L10" s="13">
        <f>K10*VLOOKUP(L8,Data!$F:$G,2,FALSE)</f>
        <v>0</v>
      </c>
      <c r="M10" s="13">
        <f>L10*VLOOKUP(M8,Data!$F:$G,2,FALSE)</f>
        <v>0</v>
      </c>
      <c r="N10" s="13">
        <f>M10*VLOOKUP(N8,Data!$F:$G,2,FALSE)</f>
        <v>0</v>
      </c>
      <c r="O10" s="13">
        <f>N10*VLOOKUP(O8,Data!$F:$G,2,FALSE)</f>
        <v>0</v>
      </c>
      <c r="P10" s="13">
        <f>O10*VLOOKUP(P8,Data!$F:$G,2,FALSE)</f>
        <v>0</v>
      </c>
      <c r="Q10" s="13">
        <f>P10*VLOOKUP(Q8,Data!$F:$G,2,FALSE)</f>
        <v>0</v>
      </c>
      <c r="R10" s="13">
        <f>Q10*VLOOKUP(R8,Data!$F:$G,2,FALSE)</f>
        <v>0</v>
      </c>
      <c r="S10" s="13">
        <f>R10*VLOOKUP(S8,Data!$F:$G,2,FALSE)</f>
        <v>0</v>
      </c>
      <c r="T10" s="13">
        <f>S10*VLOOKUP(T8,Data!$F:$G,2,FALSE)</f>
        <v>0</v>
      </c>
      <c r="U10" s="13">
        <f>T10*VLOOKUP(U8,Data!$F:$G,2,FALSE)</f>
        <v>0</v>
      </c>
      <c r="V10" s="13">
        <f>U10*VLOOKUP(V8,Data!$F:$G,2,FALSE)</f>
        <v>0</v>
      </c>
      <c r="W10" s="13">
        <f>V10*VLOOKUP(W8,Data!$F:$G,2,FALSE)</f>
        <v>0</v>
      </c>
      <c r="X10" s="13">
        <f>W10*VLOOKUP(X8,Data!$F:$G,2,FALSE)</f>
        <v>0</v>
      </c>
      <c r="Y10" s="13">
        <f>X10*VLOOKUP(Y8,Data!$F:$G,2,FALSE)</f>
        <v>0</v>
      </c>
      <c r="Z10" s="13">
        <f>Y10*VLOOKUP(Z8,Data!$F:$G,2,FALSE)</f>
        <v>0</v>
      </c>
      <c r="AA10" s="13">
        <f>Z10*VLOOKUP(AA8,Data!$F:$G,2,FALSE)</f>
        <v>0</v>
      </c>
      <c r="AB10" s="13">
        <f>AA10*VLOOKUP(AB8,Data!$F:$G,2,FALSE)</f>
        <v>0</v>
      </c>
      <c r="AC10" s="13">
        <f>AB10*VLOOKUP(AC8,Data!$F:$G,2,FALSE)</f>
        <v>0</v>
      </c>
      <c r="AD10" s="13">
        <f>AC10*VLOOKUP(AD8,Data!$F:$G,2,FALSE)</f>
        <v>0</v>
      </c>
      <c r="AE10" s="13">
        <f>AD10*VLOOKUP(AE8,Data!$F:$G,2,FALSE)</f>
        <v>0</v>
      </c>
      <c r="AF10" s="13">
        <f>AE10*VLOOKUP(AF8,Data!$F:$G,2,FALSE)</f>
        <v>0</v>
      </c>
      <c r="AG10" s="13">
        <f>AF10*VLOOKUP(AG8,Data!$F:$G,2,FALSE)</f>
        <v>0</v>
      </c>
      <c r="AH10" s="13">
        <f>AG10*VLOOKUP(AH8,Data!$F:$G,2,FALSE)</f>
        <v>0</v>
      </c>
      <c r="AI10" s="13">
        <f>AH10*VLOOKUP(AI8,Data!$F:$G,2,FALSE)</f>
        <v>0</v>
      </c>
      <c r="AJ10" s="13">
        <f>AI10*VLOOKUP(AJ8,Data!$F:$G,2,FALSE)</f>
        <v>0</v>
      </c>
      <c r="AK10" s="13">
        <f>AJ10*VLOOKUP(AK8,Data!$F:$G,2,FALSE)</f>
        <v>0</v>
      </c>
      <c r="AL10" s="13">
        <f>AK10*VLOOKUP(AL8,Data!$F:$G,2,FALSE)</f>
        <v>0</v>
      </c>
      <c r="AM10" s="13">
        <f>AL10*VLOOKUP(AM8,Data!$F:$G,2,FALSE)</f>
        <v>0</v>
      </c>
      <c r="AN10" s="13">
        <f>AM10*VLOOKUP(AN8,Data!$F:$G,2,FALSE)</f>
        <v>0</v>
      </c>
      <c r="AO10" s="13">
        <f>AN10*VLOOKUP(AO8,Data!$F:$G,2,FALSE)</f>
        <v>0</v>
      </c>
      <c r="AP10" s="13">
        <f>AO10*VLOOKUP(AP8,Data!$F:$G,2,FALSE)</f>
        <v>0</v>
      </c>
      <c r="AQ10" s="13">
        <f>AP10*VLOOKUP(AQ8,Data!$F:$G,2,FALSE)</f>
        <v>0</v>
      </c>
      <c r="AR10" s="13">
        <f>AQ10*VLOOKUP(AR8,Data!$F:$G,2,FALSE)</f>
        <v>0</v>
      </c>
    </row>
    <row r="11" spans="1:44" x14ac:dyDescent="0.25">
      <c r="B11" s="6"/>
    </row>
    <row r="12" spans="1:44" x14ac:dyDescent="0.25">
      <c r="B12" s="6"/>
    </row>
    <row r="13" spans="1:44" ht="13" x14ac:dyDescent="0.3">
      <c r="A13" s="203" t="s">
        <v>143</v>
      </c>
      <c r="B13" s="204">
        <f>YEAR('User Input'!B13)+(MONTH('User Input'!B13)&gt;=4)-1</f>
        <v>2024</v>
      </c>
      <c r="C13" s="205">
        <f>B13+1</f>
        <v>2025</v>
      </c>
      <c r="D13" s="205">
        <f t="shared" ref="D13:AR13" si="42">C13+1</f>
        <v>2026</v>
      </c>
      <c r="E13" s="205">
        <f t="shared" si="42"/>
        <v>2027</v>
      </c>
      <c r="F13" s="205">
        <f t="shared" si="42"/>
        <v>2028</v>
      </c>
      <c r="G13" s="205">
        <f t="shared" si="42"/>
        <v>2029</v>
      </c>
      <c r="H13" s="205">
        <f t="shared" si="42"/>
        <v>2030</v>
      </c>
      <c r="I13" s="205">
        <f t="shared" si="42"/>
        <v>2031</v>
      </c>
      <c r="J13" s="205">
        <f t="shared" si="42"/>
        <v>2032</v>
      </c>
      <c r="K13" s="205">
        <f t="shared" si="42"/>
        <v>2033</v>
      </c>
      <c r="L13" s="205">
        <f t="shared" si="42"/>
        <v>2034</v>
      </c>
      <c r="M13" s="205">
        <f t="shared" si="42"/>
        <v>2035</v>
      </c>
      <c r="N13" s="205">
        <f t="shared" si="42"/>
        <v>2036</v>
      </c>
      <c r="O13" s="205">
        <f t="shared" si="42"/>
        <v>2037</v>
      </c>
      <c r="P13" s="205">
        <f t="shared" si="42"/>
        <v>2038</v>
      </c>
      <c r="Q13" s="205">
        <f t="shared" si="42"/>
        <v>2039</v>
      </c>
      <c r="R13" s="205">
        <f t="shared" si="42"/>
        <v>2040</v>
      </c>
      <c r="S13" s="205">
        <f t="shared" si="42"/>
        <v>2041</v>
      </c>
      <c r="T13" s="205">
        <f t="shared" si="42"/>
        <v>2042</v>
      </c>
      <c r="U13" s="205">
        <f t="shared" si="42"/>
        <v>2043</v>
      </c>
      <c r="V13" s="205">
        <f t="shared" si="42"/>
        <v>2044</v>
      </c>
      <c r="W13" s="205">
        <f t="shared" si="42"/>
        <v>2045</v>
      </c>
      <c r="X13" s="205">
        <f t="shared" si="42"/>
        <v>2046</v>
      </c>
      <c r="Y13" s="205">
        <f t="shared" si="42"/>
        <v>2047</v>
      </c>
      <c r="Z13" s="205">
        <f t="shared" si="42"/>
        <v>2048</v>
      </c>
      <c r="AA13" s="205">
        <f t="shared" si="42"/>
        <v>2049</v>
      </c>
      <c r="AB13" s="205">
        <f t="shared" si="42"/>
        <v>2050</v>
      </c>
      <c r="AC13" s="205">
        <f t="shared" si="42"/>
        <v>2051</v>
      </c>
      <c r="AD13" s="205">
        <f t="shared" si="42"/>
        <v>2052</v>
      </c>
      <c r="AE13" s="205">
        <f t="shared" si="42"/>
        <v>2053</v>
      </c>
      <c r="AF13" s="205">
        <f t="shared" si="42"/>
        <v>2054</v>
      </c>
      <c r="AG13" s="205">
        <f t="shared" si="42"/>
        <v>2055</v>
      </c>
      <c r="AH13" s="205">
        <f t="shared" si="42"/>
        <v>2056</v>
      </c>
      <c r="AI13" s="205">
        <f t="shared" si="42"/>
        <v>2057</v>
      </c>
      <c r="AJ13" s="205">
        <f t="shared" si="42"/>
        <v>2058</v>
      </c>
      <c r="AK13" s="205">
        <f t="shared" si="42"/>
        <v>2059</v>
      </c>
      <c r="AL13" s="205">
        <f t="shared" si="42"/>
        <v>2060</v>
      </c>
      <c r="AM13" s="205">
        <f t="shared" si="42"/>
        <v>2061</v>
      </c>
      <c r="AN13" s="205">
        <f t="shared" si="42"/>
        <v>2062</v>
      </c>
      <c r="AO13" s="205">
        <f t="shared" si="42"/>
        <v>2063</v>
      </c>
      <c r="AP13" s="205">
        <f t="shared" si="42"/>
        <v>2064</v>
      </c>
      <c r="AQ13" s="205">
        <f t="shared" si="42"/>
        <v>2065</v>
      </c>
      <c r="AR13" s="205">
        <f t="shared" si="42"/>
        <v>2066</v>
      </c>
    </row>
    <row r="14" spans="1:44" x14ac:dyDescent="0.25">
      <c r="A14" s="203" t="str">
        <f>'User Input'!$A$18</f>
        <v>Type 1 (Non Electronic)</v>
      </c>
      <c r="B14" s="206">
        <f>IF(AND('User Input'!B8="NG",'User Input'!B12="During Construction"),B9,B3)</f>
        <v>13000000</v>
      </c>
      <c r="C14" s="207">
        <f>B14*VLOOKUP(C13,Data!$F:$G,2,FALSE)</f>
        <v>13843700</v>
      </c>
      <c r="D14" s="207">
        <f>C14*VLOOKUP(D13,Data!$F:$G,2,FALSE)</f>
        <v>14742156.129999999</v>
      </c>
      <c r="E14" s="207">
        <f>D14*VLOOKUP(E13,Data!$F:$G,2,FALSE)</f>
        <v>15698922.062836999</v>
      </c>
      <c r="F14" s="207">
        <f>E14*VLOOKUP(F13,Data!$F:$G,2,FALSE)</f>
        <v>16717782.10471512</v>
      </c>
      <c r="G14" s="207">
        <f>F14*VLOOKUP(G13,Data!$F:$G,2,FALSE)</f>
        <v>17802766.163311131</v>
      </c>
      <c r="H14" s="207">
        <f>G14*VLOOKUP(H13,Data!$F:$G,2,FALSE)</f>
        <v>18958165.687310021</v>
      </c>
      <c r="I14" s="207">
        <f>H14*VLOOKUP(I13,Data!$F:$G,2,FALSE)</f>
        <v>20188550.64041644</v>
      </c>
      <c r="J14" s="207">
        <f>I14*VLOOKUP(J13,Data!$F:$G,2,FALSE)</f>
        <v>21498787.576979466</v>
      </c>
      <c r="K14" s="207">
        <f>J14*VLOOKUP(K13,Data!$F:$G,2,FALSE)</f>
        <v>22894058.890725434</v>
      </c>
      <c r="L14" s="207">
        <f>K14*VLOOKUP(L13,Data!$F:$G,2,FALSE)</f>
        <v>24379883.312733512</v>
      </c>
      <c r="M14" s="207">
        <f>L14*VLOOKUP(M13,Data!$F:$G,2,FALSE)</f>
        <v>25962137.739729915</v>
      </c>
      <c r="N14" s="207">
        <f>M14*VLOOKUP(N13,Data!$F:$G,2,FALSE)</f>
        <v>27647080.479038384</v>
      </c>
      <c r="O14" s="207">
        <f>N14*VLOOKUP(O13,Data!$F:$G,2,FALSE)</f>
        <v>29441376.002127975</v>
      </c>
      <c r="P14" s="207">
        <f>O14*VLOOKUP(P13,Data!$F:$G,2,FALSE)</f>
        <v>31352121.30466608</v>
      </c>
      <c r="Q14" s="207">
        <f>P14*VLOOKUP(Q13,Data!$F:$G,2,FALSE)</f>
        <v>33386873.977338906</v>
      </c>
      <c r="R14" s="207">
        <f>Q14*VLOOKUP(R13,Data!$F:$G,2,FALSE)</f>
        <v>35553682.098468199</v>
      </c>
      <c r="S14" s="207">
        <f>R14*VLOOKUP(S13,Data!$F:$G,2,FALSE)</f>
        <v>37861116.066658787</v>
      </c>
      <c r="T14" s="207">
        <f>S14*VLOOKUP(T13,Data!$F:$G,2,FALSE)</f>
        <v>40318302.49938494</v>
      </c>
      <c r="U14" s="207">
        <f>T14*VLOOKUP(U13,Data!$F:$G,2,FALSE)</f>
        <v>42934960.331595019</v>
      </c>
      <c r="V14" s="207">
        <f>U14*VLOOKUP(V13,Data!$F:$G,2,FALSE)</f>
        <v>45721439.257115535</v>
      </c>
      <c r="W14" s="207">
        <f>V14*VLOOKUP(W13,Data!$F:$G,2,FALSE)</f>
        <v>48688760.664902329</v>
      </c>
      <c r="X14" s="207">
        <f>W14*VLOOKUP(X13,Data!$F:$G,2,FALSE)</f>
        <v>51848661.232054487</v>
      </c>
      <c r="Y14" s="207">
        <f>X14*VLOOKUP(Y13,Data!$F:$G,2,FALSE)</f>
        <v>55213639.34601482</v>
      </c>
      <c r="Z14" s="207">
        <f>Y14*VLOOKUP(Z13,Data!$F:$G,2,FALSE)</f>
        <v>58797004.539571181</v>
      </c>
      <c r="AA14" s="207">
        <f>Z14*VLOOKUP(AA13,Data!$F:$G,2,FALSE)</f>
        <v>62612930.134189345</v>
      </c>
      <c r="AB14" s="207">
        <f>AA14*VLOOKUP(AB13,Data!$F:$G,2,FALSE)</f>
        <v>66676509.29989823</v>
      </c>
      <c r="AC14" s="207">
        <f>AB14*VLOOKUP(AC13,Data!$F:$G,2,FALSE)</f>
        <v>71003814.753461629</v>
      </c>
      <c r="AD14" s="207">
        <f>AC14*VLOOKUP(AD13,Data!$F:$G,2,FALSE)</f>
        <v>75611962.330961287</v>
      </c>
      <c r="AE14" s="207">
        <f>AD14*VLOOKUP(AE13,Data!$F:$G,2,FALSE)</f>
        <v>80519178.686240673</v>
      </c>
      <c r="AF14" s="207">
        <f>AE14*VLOOKUP(AF13,Data!$F:$G,2,FALSE)</f>
        <v>85744873.382977694</v>
      </c>
      <c r="AG14" s="207">
        <f>AF14*VLOOKUP(AG13,Data!$F:$G,2,FALSE)</f>
        <v>91309715.665532947</v>
      </c>
      <c r="AH14" s="207">
        <f>AG14*VLOOKUP(AH13,Data!$F:$G,2,FALSE)</f>
        <v>97235716.212226033</v>
      </c>
      <c r="AI14" s="207">
        <f>AH14*VLOOKUP(AI13,Data!$F:$G,2,FALSE)</f>
        <v>103546314.19439951</v>
      </c>
      <c r="AJ14" s="207">
        <f>AI14*VLOOKUP(AJ13,Data!$F:$G,2,FALSE)</f>
        <v>110266469.98561603</v>
      </c>
      <c r="AK14" s="207">
        <f>AJ14*VLOOKUP(AK13,Data!$F:$G,2,FALSE)</f>
        <v>117422763.8876825</v>
      </c>
      <c r="AL14" s="207">
        <f>AK14*VLOOKUP(AL13,Data!$F:$G,2,FALSE)</f>
        <v>125043501.26399308</v>
      </c>
      <c r="AM14" s="207">
        <f>AL14*VLOOKUP(AM13,Data!$F:$G,2,FALSE)</f>
        <v>133158824.49602623</v>
      </c>
      <c r="AN14" s="207">
        <f>AM14*VLOOKUP(AN13,Data!$F:$G,2,FALSE)</f>
        <v>141800832.20581833</v>
      </c>
      <c r="AO14" s="207">
        <f>AN14*VLOOKUP(AO13,Data!$F:$G,2,FALSE)</f>
        <v>151003706.21597594</v>
      </c>
      <c r="AP14" s="207">
        <f>AO14*VLOOKUP(AP13,Data!$F:$G,2,FALSE)</f>
        <v>160803846.74939278</v>
      </c>
      <c r="AQ14" s="207">
        <f>AP14*VLOOKUP(AQ13,Data!$F:$G,2,FALSE)</f>
        <v>171240016.40342838</v>
      </c>
      <c r="AR14" s="207">
        <f>AQ14*VLOOKUP(AR13,Data!$F:$G,2,FALSE)</f>
        <v>182353493.46801087</v>
      </c>
    </row>
    <row r="15" spans="1:44" x14ac:dyDescent="0.25">
      <c r="A15" s="203" t="str">
        <f>'User Input'!$A$19</f>
        <v>Type 2 (Electronic)</v>
      </c>
      <c r="B15" s="206">
        <f>IF(AND('User Input'!B9="NG",'User Input'!B13="During Construction"),B10,B4)</f>
        <v>0</v>
      </c>
      <c r="C15" s="207">
        <f>B15*VLOOKUP(C13,Data!$F:$G,2,FALSE)</f>
        <v>0</v>
      </c>
      <c r="D15" s="207">
        <f>C15*VLOOKUP(D13,Data!$F:$G,2,FALSE)</f>
        <v>0</v>
      </c>
      <c r="E15" s="207">
        <f>D15*VLOOKUP(E13,Data!$F:$G,2,FALSE)</f>
        <v>0</v>
      </c>
      <c r="F15" s="207">
        <f>E15*VLOOKUP(F13,Data!$F:$G,2,FALSE)</f>
        <v>0</v>
      </c>
      <c r="G15" s="207">
        <f>F15*VLOOKUP(G13,Data!$F:$G,2,FALSE)</f>
        <v>0</v>
      </c>
      <c r="H15" s="207">
        <f>G15*VLOOKUP(H13,Data!$F:$G,2,FALSE)</f>
        <v>0</v>
      </c>
      <c r="I15" s="207">
        <f>H15*VLOOKUP(I13,Data!$F:$G,2,FALSE)</f>
        <v>0</v>
      </c>
      <c r="J15" s="207">
        <f>I15*VLOOKUP(J13,Data!$F:$G,2,FALSE)</f>
        <v>0</v>
      </c>
      <c r="K15" s="207">
        <f>J15*VLOOKUP(K13,Data!$F:$G,2,FALSE)</f>
        <v>0</v>
      </c>
      <c r="L15" s="207">
        <f>K15*VLOOKUP(L13,Data!$F:$G,2,FALSE)</f>
        <v>0</v>
      </c>
      <c r="M15" s="207">
        <f>L15*VLOOKUP(M13,Data!$F:$G,2,FALSE)</f>
        <v>0</v>
      </c>
      <c r="N15" s="207">
        <f>M15*VLOOKUP(N13,Data!$F:$G,2,FALSE)</f>
        <v>0</v>
      </c>
      <c r="O15" s="207">
        <f>N15*VLOOKUP(O13,Data!$F:$G,2,FALSE)</f>
        <v>0</v>
      </c>
      <c r="P15" s="207">
        <f>O15*VLOOKUP(P13,Data!$F:$G,2,FALSE)</f>
        <v>0</v>
      </c>
      <c r="Q15" s="207">
        <f>P15*VLOOKUP(Q13,Data!$F:$G,2,FALSE)</f>
        <v>0</v>
      </c>
      <c r="R15" s="207">
        <f>Q15*VLOOKUP(R13,Data!$F:$G,2,FALSE)</f>
        <v>0</v>
      </c>
      <c r="S15" s="207">
        <f>R15*VLOOKUP(S13,Data!$F:$G,2,FALSE)</f>
        <v>0</v>
      </c>
      <c r="T15" s="207">
        <f>S15*VLOOKUP(T13,Data!$F:$G,2,FALSE)</f>
        <v>0</v>
      </c>
      <c r="U15" s="207">
        <f>T15*VLOOKUP(U13,Data!$F:$G,2,FALSE)</f>
        <v>0</v>
      </c>
      <c r="V15" s="207">
        <f>U15*VLOOKUP(V13,Data!$F:$G,2,FALSE)</f>
        <v>0</v>
      </c>
      <c r="W15" s="207">
        <f>V15*VLOOKUP(W13,Data!$F:$G,2,FALSE)</f>
        <v>0</v>
      </c>
      <c r="X15" s="207">
        <f>W15*VLOOKUP(X13,Data!$F:$G,2,FALSE)</f>
        <v>0</v>
      </c>
      <c r="Y15" s="207">
        <f>X15*VLOOKUP(Y13,Data!$F:$G,2,FALSE)</f>
        <v>0</v>
      </c>
      <c r="Z15" s="207">
        <f>Y15*VLOOKUP(Z13,Data!$F:$G,2,FALSE)</f>
        <v>0</v>
      </c>
      <c r="AA15" s="207">
        <f>Z15*VLOOKUP(AA13,Data!$F:$G,2,FALSE)</f>
        <v>0</v>
      </c>
      <c r="AB15" s="207">
        <f>AA15*VLOOKUP(AB13,Data!$F:$G,2,FALSE)</f>
        <v>0</v>
      </c>
      <c r="AC15" s="207">
        <f>AB15*VLOOKUP(AC13,Data!$F:$G,2,FALSE)</f>
        <v>0</v>
      </c>
      <c r="AD15" s="207">
        <f>AC15*VLOOKUP(AD13,Data!$F:$G,2,FALSE)</f>
        <v>0</v>
      </c>
      <c r="AE15" s="207">
        <f>AD15*VLOOKUP(AE13,Data!$F:$G,2,FALSE)</f>
        <v>0</v>
      </c>
      <c r="AF15" s="207">
        <f>AE15*VLOOKUP(AF13,Data!$F:$G,2,FALSE)</f>
        <v>0</v>
      </c>
      <c r="AG15" s="207">
        <f>AF15*VLOOKUP(AG13,Data!$F:$G,2,FALSE)</f>
        <v>0</v>
      </c>
      <c r="AH15" s="207">
        <f>AG15*VLOOKUP(AH13,Data!$F:$G,2,FALSE)</f>
        <v>0</v>
      </c>
      <c r="AI15" s="207">
        <f>AH15*VLOOKUP(AI13,Data!$F:$G,2,FALSE)</f>
        <v>0</v>
      </c>
      <c r="AJ15" s="207">
        <f>AI15*VLOOKUP(AJ13,Data!$F:$G,2,FALSE)</f>
        <v>0</v>
      </c>
      <c r="AK15" s="207">
        <f>AJ15*VLOOKUP(AK13,Data!$F:$G,2,FALSE)</f>
        <v>0</v>
      </c>
      <c r="AL15" s="207">
        <f>AK15*VLOOKUP(AL13,Data!$F:$G,2,FALSE)</f>
        <v>0</v>
      </c>
      <c r="AM15" s="207">
        <f>AL15*VLOOKUP(AM13,Data!$F:$G,2,FALSE)</f>
        <v>0</v>
      </c>
      <c r="AN15" s="207">
        <f>AM15*VLOOKUP(AN13,Data!$F:$G,2,FALSE)</f>
        <v>0</v>
      </c>
      <c r="AO15" s="207">
        <f>AN15*VLOOKUP(AO13,Data!$F:$G,2,FALSE)</f>
        <v>0</v>
      </c>
      <c r="AP15" s="207">
        <f>AO15*VLOOKUP(AP13,Data!$F:$G,2,FALSE)</f>
        <v>0</v>
      </c>
      <c r="AQ15" s="207">
        <f>AP15*VLOOKUP(AQ13,Data!$F:$G,2,FALSE)</f>
        <v>0</v>
      </c>
      <c r="AR15" s="207">
        <f>AQ15*VLOOKUP(AR13,Data!$F:$G,2,FALSE)</f>
        <v>0</v>
      </c>
    </row>
    <row r="16" spans="1:44" x14ac:dyDescent="0.25">
      <c r="B16" s="6"/>
    </row>
    <row r="18" spans="1:5" x14ac:dyDescent="0.25">
      <c r="A18" s="5" t="s">
        <v>80</v>
      </c>
    </row>
    <row r="19" spans="1:5" x14ac:dyDescent="0.25">
      <c r="A19" s="5"/>
    </row>
    <row r="20" spans="1:5" ht="13" x14ac:dyDescent="0.3">
      <c r="A20" s="4" t="s">
        <v>21</v>
      </c>
    </row>
    <row r="21" spans="1:5" ht="13" x14ac:dyDescent="0.25">
      <c r="A21" s="9" t="str">
        <f>'User Input'!A17</f>
        <v>Assets Grouped by Depreciation</v>
      </c>
      <c r="B21" s="9" t="str">
        <f>'User Input'!B17</f>
        <v>Dep Period</v>
      </c>
      <c r="C21" s="9" t="str">
        <f>'User Input'!C17</f>
        <v>GAV</v>
      </c>
      <c r="E21" s="5"/>
    </row>
    <row r="22" spans="1:5" ht="13" x14ac:dyDescent="0.25">
      <c r="A22" s="9" t="str">
        <f>'User Input'!A18</f>
        <v>Type 1 (Non Electronic)</v>
      </c>
      <c r="B22" s="7">
        <f>'User Input'!B18</f>
        <v>40</v>
      </c>
      <c r="C22" s="8">
        <f>'User Input'!C18</f>
        <v>13000000</v>
      </c>
    </row>
    <row r="23" spans="1:5" ht="13" x14ac:dyDescent="0.25">
      <c r="A23" s="9" t="str">
        <f>'User Input'!A19</f>
        <v>Type 2 (Electronic)</v>
      </c>
      <c r="B23" s="7">
        <f>'User Input'!B19</f>
        <v>0</v>
      </c>
      <c r="C23" s="8">
        <f>'User Input'!C19</f>
        <v>0</v>
      </c>
    </row>
    <row r="24" spans="1:5" ht="13" x14ac:dyDescent="0.25">
      <c r="A24" s="9" t="s">
        <v>4</v>
      </c>
      <c r="B24" s="9"/>
      <c r="C24" s="43">
        <f>SUM(C22:C23)</f>
        <v>13000000</v>
      </c>
    </row>
    <row r="25" spans="1:5" ht="13" x14ac:dyDescent="0.25">
      <c r="A25" s="9"/>
      <c r="B25" s="9"/>
      <c r="C25" s="43"/>
    </row>
    <row r="26" spans="1:5" ht="13" x14ac:dyDescent="0.25">
      <c r="A26" s="9"/>
      <c r="B26" s="9">
        <v>2024</v>
      </c>
      <c r="C26" s="43"/>
    </row>
    <row r="27" spans="1:5" ht="13" x14ac:dyDescent="0.25">
      <c r="A27" s="9"/>
      <c r="B27" s="9">
        <v>5</v>
      </c>
      <c r="C27" s="43"/>
    </row>
    <row r="28" spans="1:5" ht="13" x14ac:dyDescent="0.3">
      <c r="A28" s="4" t="s">
        <v>79</v>
      </c>
      <c r="C28" s="6"/>
    </row>
    <row r="29" spans="1:5" x14ac:dyDescent="0.25">
      <c r="A29" s="5" t="s">
        <v>59</v>
      </c>
    </row>
    <row r="30" spans="1:5" ht="13" x14ac:dyDescent="0.3">
      <c r="A30" s="4" t="s">
        <v>21</v>
      </c>
    </row>
    <row r="31" spans="1:5" ht="13" x14ac:dyDescent="0.25">
      <c r="A31" s="9" t="str">
        <f>A21</f>
        <v>Assets Grouped by Depreciation</v>
      </c>
      <c r="B31" s="9" t="str">
        <f t="shared" ref="B31:C31" si="43">B21</f>
        <v>Dep Period</v>
      </c>
      <c r="C31" s="9" t="str">
        <f t="shared" si="43"/>
        <v>GAV</v>
      </c>
    </row>
    <row r="32" spans="1:5" ht="13" x14ac:dyDescent="0.25">
      <c r="A32" s="9" t="str">
        <f t="shared" ref="A32:B32" si="44">A22</f>
        <v>Type 1 (Non Electronic)</v>
      </c>
      <c r="B32" s="9">
        <f t="shared" si="44"/>
        <v>40</v>
      </c>
      <c r="C32" s="43">
        <f>IF('User Input'!B8="NG",'GAV Transformation'!C22/'Forecast Detail'!$C$11,'GAV Transformation'!C22)</f>
        <v>12264150.943396226</v>
      </c>
      <c r="D32" s="6"/>
    </row>
    <row r="33" spans="1:4" ht="13" x14ac:dyDescent="0.25">
      <c r="A33" s="9" t="str">
        <f t="shared" ref="A33:B33" si="45">A23</f>
        <v>Type 2 (Electronic)</v>
      </c>
      <c r="B33" s="9">
        <f t="shared" si="45"/>
        <v>0</v>
      </c>
      <c r="C33" s="43">
        <f>IF('User Input'!B9="NG",'GAV Transformation'!C23/'Forecast Detail'!$C$11,'GAV Transformation'!C23)</f>
        <v>0</v>
      </c>
      <c r="D33" s="6"/>
    </row>
    <row r="34" spans="1:4" ht="13" x14ac:dyDescent="0.25">
      <c r="A34" s="9" t="s">
        <v>4</v>
      </c>
      <c r="B34" s="9"/>
      <c r="C34" s="43">
        <f>SUM(C32:C33)</f>
        <v>12264150.943396226</v>
      </c>
    </row>
    <row r="36" spans="1:4" x14ac:dyDescent="0.25">
      <c r="A36" s="5" t="s">
        <v>57</v>
      </c>
    </row>
    <row r="37" spans="1:4" ht="13" x14ac:dyDescent="0.3">
      <c r="A37" s="4" t="s">
        <v>21</v>
      </c>
    </row>
    <row r="38" spans="1:4" ht="13" x14ac:dyDescent="0.25">
      <c r="A38" s="9" t="str">
        <f>A31</f>
        <v>Assets Grouped by Depreciation</v>
      </c>
      <c r="B38" s="9" t="str">
        <f t="shared" ref="B38:C38" si="46">B31</f>
        <v>Dep Period</v>
      </c>
      <c r="C38" s="9" t="str">
        <f t="shared" si="46"/>
        <v>GAV</v>
      </c>
    </row>
    <row r="39" spans="1:4" ht="13" x14ac:dyDescent="0.25">
      <c r="A39" s="9" t="str">
        <f t="shared" ref="A39:B39" si="47">A32</f>
        <v>Type 1 (Non Electronic)</v>
      </c>
      <c r="B39" s="9">
        <f t="shared" si="47"/>
        <v>40</v>
      </c>
      <c r="C39" s="43">
        <f>C22</f>
        <v>13000000</v>
      </c>
    </row>
    <row r="40" spans="1:4" ht="13" x14ac:dyDescent="0.25">
      <c r="A40" s="9" t="str">
        <f t="shared" ref="A40:B40" si="48">A33</f>
        <v>Type 2 (Electronic)</v>
      </c>
      <c r="B40" s="9">
        <f t="shared" si="48"/>
        <v>0</v>
      </c>
      <c r="C40" s="43">
        <f>C23</f>
        <v>0</v>
      </c>
    </row>
    <row r="41" spans="1:4" ht="13" x14ac:dyDescent="0.25">
      <c r="A41" s="9" t="s">
        <v>4</v>
      </c>
      <c r="B41" s="9"/>
      <c r="C41" s="43">
        <f>SUM(C39:C40)</f>
        <v>13000000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User Input</vt:lpstr>
      <vt:lpstr>Inflation</vt:lpstr>
      <vt:lpstr>Offer Verification</vt:lpstr>
      <vt:lpstr>Forecast Detail</vt:lpstr>
      <vt:lpstr>Forecast Summary</vt:lpstr>
      <vt:lpstr>Forecast Chart</vt:lpstr>
      <vt:lpstr>Data</vt:lpstr>
      <vt:lpstr>GAV Transformation</vt:lpstr>
      <vt:lpstr>Asset</vt:lpstr>
      <vt:lpstr>Cap_Contrib</vt:lpstr>
      <vt:lpstr>Option_Cap_Contrib</vt:lpstr>
      <vt:lpstr>Option_Lookup</vt:lpstr>
      <vt:lpstr>'Forecast Detail'!Print_Area</vt:lpstr>
      <vt:lpstr>'Offer Verification'!Print_Area</vt:lpstr>
      <vt:lpstr>Start</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ajay.pandey;Heather Stratford</dc:creator>
  <cp:lastModifiedBy>Rama Kodukula (NESO)</cp:lastModifiedBy>
  <cp:lastPrinted>2024-11-21T12:14:44Z</cp:lastPrinted>
  <dcterms:created xsi:type="dcterms:W3CDTF">2009-04-09T11:04:20Z</dcterms:created>
  <dcterms:modified xsi:type="dcterms:W3CDTF">2024-11-25T14:05:29Z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Invoice Check Sheet_Norton Lees Aug_15 KH.xlsx</vt:lpwstr>
  </property>
  <property fmtid="{D5CDD505-2E9C-101B-9397-08002B2CF9AE}" pid="3" name="_NewReviewCycle">
    <vt:lpwstr/>
  </property>
</Properties>
</file>